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00"/>
  </bookViews>
  <sheets>
    <sheet name="В розрізі областей" sheetId="2" r:id="rId1"/>
    <sheet name="В розрізі підприємств" sheetId="1" r:id="rId2"/>
  </sheets>
  <definedNames>
    <definedName name="_xlnm._FilterDatabase" localSheetId="1" hidden="1">'В розрізі підприємств'!$A$6:$AM$93</definedName>
    <definedName name="_xlnm.Print_Area" localSheetId="0">'В розрізі областей'!$A$1:$AM$36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1" i="2" l="1"/>
  <c r="AI31" i="2"/>
  <c r="AH31" i="2"/>
  <c r="AG31" i="2"/>
  <c r="AF31" i="2"/>
  <c r="AE31" i="2"/>
  <c r="AC31" i="2"/>
  <c r="AB31" i="2"/>
  <c r="AA31" i="2"/>
  <c r="Z31" i="2"/>
  <c r="P31" i="2"/>
  <c r="L31" i="2"/>
  <c r="K31" i="2"/>
  <c r="J31" i="2"/>
  <c r="H31" i="2"/>
  <c r="G31" i="2"/>
  <c r="E31" i="2"/>
  <c r="D31" i="2"/>
  <c r="Y30" i="2"/>
  <c r="AM30" i="2" s="1"/>
  <c r="X30" i="2"/>
  <c r="O30" i="2"/>
  <c r="N30" i="2"/>
  <c r="AL30" i="2" s="1"/>
  <c r="Y29" i="2"/>
  <c r="X29" i="2"/>
  <c r="AL29" i="2" s="1"/>
  <c r="O29" i="2"/>
  <c r="AM29" i="2" s="1"/>
  <c r="N29" i="2"/>
  <c r="Y28" i="2"/>
  <c r="AM28" i="2" s="1"/>
  <c r="X28" i="2"/>
  <c r="O28" i="2"/>
  <c r="N28" i="2"/>
  <c r="AL28" i="2" s="1"/>
  <c r="W27" i="2"/>
  <c r="V27" i="2"/>
  <c r="U27" i="2"/>
  <c r="T27" i="2"/>
  <c r="T31" i="2" s="1"/>
  <c r="S27" i="2"/>
  <c r="Y27" i="2" s="1"/>
  <c r="AM27" i="2" s="1"/>
  <c r="R27" i="2"/>
  <c r="Q27" i="2"/>
  <c r="O27" i="2"/>
  <c r="N27" i="2"/>
  <c r="C27" i="2"/>
  <c r="B27" i="2"/>
  <c r="W26" i="2"/>
  <c r="V26" i="2"/>
  <c r="U26" i="2"/>
  <c r="T26" i="2"/>
  <c r="S26" i="2"/>
  <c r="Y26" i="2" s="1"/>
  <c r="AM26" i="2" s="1"/>
  <c r="R26" i="2"/>
  <c r="X26" i="2" s="1"/>
  <c r="AL26" i="2" s="1"/>
  <c r="O26" i="2"/>
  <c r="N26" i="2"/>
  <c r="AE25" i="2"/>
  <c r="AD25" i="2"/>
  <c r="AD31" i="2" s="1"/>
  <c r="Y25" i="2"/>
  <c r="AM25" i="2" s="1"/>
  <c r="X25" i="2"/>
  <c r="AL25" i="2" s="1"/>
  <c r="Q25" i="2"/>
  <c r="P25" i="2"/>
  <c r="O25" i="2"/>
  <c r="N25" i="2"/>
  <c r="Y24" i="2"/>
  <c r="AM24" i="2" s="1"/>
  <c r="X24" i="2"/>
  <c r="AL24" i="2" s="1"/>
  <c r="O24" i="2"/>
  <c r="N24" i="2"/>
  <c r="Y23" i="2"/>
  <c r="X23" i="2"/>
  <c r="O23" i="2"/>
  <c r="AM23" i="2" s="1"/>
  <c r="N23" i="2"/>
  <c r="AL23" i="2" s="1"/>
  <c r="Y22" i="2"/>
  <c r="AM22" i="2" s="1"/>
  <c r="X22" i="2"/>
  <c r="AL22" i="2" s="1"/>
  <c r="O22" i="2"/>
  <c r="N22" i="2"/>
  <c r="Y21" i="2"/>
  <c r="X21" i="2"/>
  <c r="O21" i="2"/>
  <c r="AM21" i="2" s="1"/>
  <c r="N21" i="2"/>
  <c r="AL21" i="2" s="1"/>
  <c r="Y20" i="2"/>
  <c r="AM20" i="2" s="1"/>
  <c r="X20" i="2"/>
  <c r="AL20" i="2" s="1"/>
  <c r="O20" i="2"/>
  <c r="N20" i="2"/>
  <c r="Y19" i="2"/>
  <c r="X19" i="2"/>
  <c r="O19" i="2"/>
  <c r="AM19" i="2" s="1"/>
  <c r="N19" i="2"/>
  <c r="AL19" i="2" s="1"/>
  <c r="Y18" i="2"/>
  <c r="AM18" i="2" s="1"/>
  <c r="X18" i="2"/>
  <c r="AL18" i="2" s="1"/>
  <c r="O18" i="2"/>
  <c r="N18" i="2"/>
  <c r="Y17" i="2"/>
  <c r="X17" i="2"/>
  <c r="O17" i="2"/>
  <c r="AM17" i="2" s="1"/>
  <c r="N17" i="2"/>
  <c r="AL17" i="2" s="1"/>
  <c r="G17" i="2"/>
  <c r="F17" i="2"/>
  <c r="F31" i="2" s="1"/>
  <c r="Y16" i="2"/>
  <c r="X16" i="2"/>
  <c r="O16" i="2"/>
  <c r="AM16" i="2" s="1"/>
  <c r="N16" i="2"/>
  <c r="AL16" i="2" s="1"/>
  <c r="W15" i="2"/>
  <c r="V15" i="2"/>
  <c r="U15" i="2"/>
  <c r="Y15" i="2" s="1"/>
  <c r="AM15" i="2" s="1"/>
  <c r="T15" i="2"/>
  <c r="X15" i="2" s="1"/>
  <c r="AL15" i="2" s="1"/>
  <c r="S15" i="2"/>
  <c r="R15" i="2"/>
  <c r="O15" i="2"/>
  <c r="N15" i="2"/>
  <c r="Y14" i="2"/>
  <c r="AM14" i="2" s="1"/>
  <c r="X14" i="2"/>
  <c r="AL14" i="2" s="1"/>
  <c r="O14" i="2"/>
  <c r="N14" i="2"/>
  <c r="W13" i="2"/>
  <c r="V13" i="2"/>
  <c r="U13" i="2"/>
  <c r="T13" i="2"/>
  <c r="S13" i="2"/>
  <c r="Y13" i="2" s="1"/>
  <c r="AM13" i="2" s="1"/>
  <c r="R13" i="2"/>
  <c r="X13" i="2" s="1"/>
  <c r="AL13" i="2" s="1"/>
  <c r="Q13" i="2"/>
  <c r="P13" i="2"/>
  <c r="O13" i="2"/>
  <c r="N13" i="2"/>
  <c r="Y12" i="2"/>
  <c r="AM12" i="2" s="1"/>
  <c r="X12" i="2"/>
  <c r="AL12" i="2" s="1"/>
  <c r="O12" i="2"/>
  <c r="N12" i="2"/>
  <c r="W11" i="2"/>
  <c r="W31" i="2" s="1"/>
  <c r="V11" i="2"/>
  <c r="V31" i="2" s="1"/>
  <c r="U11" i="2"/>
  <c r="U31" i="2" s="1"/>
  <c r="T11" i="2"/>
  <c r="S11" i="2"/>
  <c r="S31" i="2" s="1"/>
  <c r="R11" i="2"/>
  <c r="R31" i="2" s="1"/>
  <c r="O11" i="2"/>
  <c r="N11" i="2"/>
  <c r="AK10" i="2"/>
  <c r="AK31" i="2" s="1"/>
  <c r="AJ10" i="2"/>
  <c r="Y10" i="2"/>
  <c r="AM10" i="2" s="1"/>
  <c r="X10" i="2"/>
  <c r="C10" i="2"/>
  <c r="O10" i="2" s="1"/>
  <c r="B10" i="2"/>
  <c r="N10" i="2" s="1"/>
  <c r="Y9" i="2"/>
  <c r="AM9" i="2" s="1"/>
  <c r="X9" i="2"/>
  <c r="I9" i="2"/>
  <c r="O9" i="2" s="1"/>
  <c r="H9" i="2"/>
  <c r="N9" i="2" s="1"/>
  <c r="Y8" i="2"/>
  <c r="X8" i="2"/>
  <c r="Q8" i="2"/>
  <c r="Q31" i="2" s="1"/>
  <c r="P8" i="2"/>
  <c r="M8" i="2"/>
  <c r="M31" i="2" s="1"/>
  <c r="L8" i="2"/>
  <c r="I8" i="2"/>
  <c r="I31" i="2" s="1"/>
  <c r="H8" i="2"/>
  <c r="N8" i="2" s="1"/>
  <c r="C8" i="2"/>
  <c r="C31" i="2" s="1"/>
  <c r="B8" i="2"/>
  <c r="B31" i="2" s="1"/>
  <c r="Y7" i="2"/>
  <c r="X7" i="2"/>
  <c r="O7" i="2"/>
  <c r="AM7" i="2" s="1"/>
  <c r="N7" i="2"/>
  <c r="AL7" i="2" s="1"/>
  <c r="Y6" i="2"/>
  <c r="AM6" i="2" s="1"/>
  <c r="X6" i="2"/>
  <c r="O6" i="2"/>
  <c r="N6" i="2"/>
  <c r="AJ93" i="1"/>
  <c r="AI93" i="1"/>
  <c r="AH93" i="1"/>
  <c r="AG93" i="1"/>
  <c r="AF93" i="1"/>
  <c r="AA93" i="1"/>
  <c r="Z93" i="1"/>
  <c r="L93" i="1"/>
  <c r="K93" i="1"/>
  <c r="J93" i="1"/>
  <c r="H93" i="1"/>
  <c r="G93" i="1"/>
  <c r="F93" i="1"/>
  <c r="E93" i="1"/>
  <c r="D93" i="1"/>
  <c r="Y92" i="1"/>
  <c r="X92" i="1"/>
  <c r="O92" i="1"/>
  <c r="AM92" i="1" s="1"/>
  <c r="N92" i="1"/>
  <c r="AL92" i="1" s="1"/>
  <c r="Y91" i="1"/>
  <c r="X91" i="1"/>
  <c r="O91" i="1"/>
  <c r="AM91" i="1" s="1"/>
  <c r="N91" i="1"/>
  <c r="AL91" i="1" s="1"/>
  <c r="AM90" i="1"/>
  <c r="AL90" i="1"/>
  <c r="Y90" i="1"/>
  <c r="X90" i="1"/>
  <c r="Y89" i="1"/>
  <c r="X89" i="1"/>
  <c r="O89" i="1"/>
  <c r="AM89" i="1" s="1"/>
  <c r="N89" i="1"/>
  <c r="AL89" i="1" s="1"/>
  <c r="Y88" i="1"/>
  <c r="X88" i="1"/>
  <c r="O88" i="1"/>
  <c r="AM88" i="1" s="1"/>
  <c r="N88" i="1"/>
  <c r="AL88" i="1" s="1"/>
  <c r="Y87" i="1"/>
  <c r="X87" i="1"/>
  <c r="O87" i="1"/>
  <c r="AM87" i="1" s="1"/>
  <c r="N87" i="1"/>
  <c r="AL87" i="1" s="1"/>
  <c r="Y86" i="1"/>
  <c r="X86" i="1"/>
  <c r="O86" i="1"/>
  <c r="AM86" i="1" s="1"/>
  <c r="N86" i="1"/>
  <c r="AL86" i="1" s="1"/>
  <c r="Y85" i="1"/>
  <c r="X85" i="1"/>
  <c r="O85" i="1"/>
  <c r="AM85" i="1" s="1"/>
  <c r="N85" i="1"/>
  <c r="AL85" i="1" s="1"/>
  <c r="Y84" i="1"/>
  <c r="X84" i="1"/>
  <c r="O84" i="1"/>
  <c r="AM84" i="1" s="1"/>
  <c r="N84" i="1"/>
  <c r="AL84" i="1" s="1"/>
  <c r="Y83" i="1"/>
  <c r="X83" i="1"/>
  <c r="O83" i="1"/>
  <c r="AM83" i="1" s="1"/>
  <c r="N83" i="1"/>
  <c r="AL83" i="1" s="1"/>
  <c r="Y82" i="1"/>
  <c r="X82" i="1"/>
  <c r="O82" i="1"/>
  <c r="AM82" i="1" s="1"/>
  <c r="N82" i="1"/>
  <c r="AL82" i="1" s="1"/>
  <c r="Y81" i="1"/>
  <c r="X81" i="1"/>
  <c r="O81" i="1"/>
  <c r="AM81" i="1" s="1"/>
  <c r="N81" i="1"/>
  <c r="AL81" i="1" s="1"/>
  <c r="Y80" i="1"/>
  <c r="X80" i="1"/>
  <c r="O80" i="1"/>
  <c r="AM80" i="1" s="1"/>
  <c r="N80" i="1"/>
  <c r="AL80" i="1" s="1"/>
  <c r="Y79" i="1"/>
  <c r="X79" i="1"/>
  <c r="O79" i="1"/>
  <c r="AM79" i="1" s="1"/>
  <c r="N79" i="1"/>
  <c r="AL79" i="1" s="1"/>
  <c r="Y78" i="1"/>
  <c r="X78" i="1"/>
  <c r="O78" i="1"/>
  <c r="AM78" i="1" s="1"/>
  <c r="N78" i="1"/>
  <c r="AL78" i="1" s="1"/>
  <c r="Y77" i="1"/>
  <c r="X77" i="1"/>
  <c r="O77" i="1"/>
  <c r="AM77" i="1" s="1"/>
  <c r="N77" i="1"/>
  <c r="AL77" i="1" s="1"/>
  <c r="Y76" i="1"/>
  <c r="X76" i="1"/>
  <c r="O76" i="1"/>
  <c r="AM76" i="1" s="1"/>
  <c r="N76" i="1"/>
  <c r="AL76" i="1" s="1"/>
  <c r="Y75" i="1"/>
  <c r="X75" i="1"/>
  <c r="O75" i="1"/>
  <c r="AM75" i="1" s="1"/>
  <c r="N75" i="1"/>
  <c r="AL75" i="1" s="1"/>
  <c r="Y74" i="1"/>
  <c r="X74" i="1"/>
  <c r="O74" i="1"/>
  <c r="AM74" i="1" s="1"/>
  <c r="N74" i="1"/>
  <c r="AL74" i="1" s="1"/>
  <c r="Y73" i="1"/>
  <c r="X73" i="1"/>
  <c r="O73" i="1"/>
  <c r="AM73" i="1" s="1"/>
  <c r="N73" i="1"/>
  <c r="AL73" i="1" s="1"/>
  <c r="Y72" i="1"/>
  <c r="X72" i="1"/>
  <c r="O72" i="1"/>
  <c r="AM72" i="1" s="1"/>
  <c r="N72" i="1"/>
  <c r="AL72" i="1" s="1"/>
  <c r="Y71" i="1"/>
  <c r="X71" i="1"/>
  <c r="O71" i="1"/>
  <c r="AM71" i="1" s="1"/>
  <c r="N71" i="1"/>
  <c r="AL71" i="1" s="1"/>
  <c r="Y70" i="1"/>
  <c r="X70" i="1"/>
  <c r="O70" i="1"/>
  <c r="AM70" i="1" s="1"/>
  <c r="N70" i="1"/>
  <c r="AL70" i="1" s="1"/>
  <c r="Y69" i="1"/>
  <c r="X69" i="1"/>
  <c r="Q69" i="1"/>
  <c r="AM69" i="1" s="1"/>
  <c r="P69" i="1"/>
  <c r="AL69" i="1" s="1"/>
  <c r="O69" i="1"/>
  <c r="N69" i="1"/>
  <c r="Y68" i="1"/>
  <c r="X68" i="1"/>
  <c r="O68" i="1"/>
  <c r="AM68" i="1" s="1"/>
  <c r="N68" i="1"/>
  <c r="AL68" i="1" s="1"/>
  <c r="W67" i="1"/>
  <c r="V67" i="1"/>
  <c r="U67" i="1"/>
  <c r="Y67" i="1" s="1"/>
  <c r="T67" i="1"/>
  <c r="X67" i="1" s="1"/>
  <c r="S67" i="1"/>
  <c r="R67" i="1"/>
  <c r="O67" i="1"/>
  <c r="AM67" i="1" s="1"/>
  <c r="N67" i="1"/>
  <c r="AL67" i="1" s="1"/>
  <c r="Y66" i="1"/>
  <c r="X66" i="1"/>
  <c r="O66" i="1"/>
  <c r="AM66" i="1" s="1"/>
  <c r="N66" i="1"/>
  <c r="AL66" i="1" s="1"/>
  <c r="Y65" i="1"/>
  <c r="X65" i="1"/>
  <c r="O65" i="1"/>
  <c r="AM65" i="1" s="1"/>
  <c r="N65" i="1"/>
  <c r="AL65" i="1" s="1"/>
  <c r="Y64" i="1"/>
  <c r="X64" i="1"/>
  <c r="O64" i="1"/>
  <c r="AM64" i="1" s="1"/>
  <c r="N64" i="1"/>
  <c r="AL64" i="1" s="1"/>
  <c r="Y63" i="1"/>
  <c r="X63" i="1"/>
  <c r="O63" i="1"/>
  <c r="AM63" i="1" s="1"/>
  <c r="N63" i="1"/>
  <c r="AL63" i="1" s="1"/>
  <c r="Y62" i="1"/>
  <c r="X62" i="1"/>
  <c r="O62" i="1"/>
  <c r="AM62" i="1" s="1"/>
  <c r="N62" i="1"/>
  <c r="AL62" i="1" s="1"/>
  <c r="Y61" i="1"/>
  <c r="X61" i="1"/>
  <c r="O61" i="1"/>
  <c r="AM61" i="1" s="1"/>
  <c r="N61" i="1"/>
  <c r="AL61" i="1" s="1"/>
  <c r="AC60" i="1"/>
  <c r="AB60" i="1"/>
  <c r="Y60" i="1"/>
  <c r="X60" i="1"/>
  <c r="O60" i="1"/>
  <c r="AM60" i="1" s="1"/>
  <c r="N60" i="1"/>
  <c r="AL60" i="1" s="1"/>
  <c r="Y59" i="1"/>
  <c r="X59" i="1"/>
  <c r="O59" i="1"/>
  <c r="AM59" i="1" s="1"/>
  <c r="N59" i="1"/>
  <c r="AL59" i="1" s="1"/>
  <c r="Y58" i="1"/>
  <c r="X58" i="1"/>
  <c r="O58" i="1"/>
  <c r="AM58" i="1" s="1"/>
  <c r="N58" i="1"/>
  <c r="AL58" i="1" s="1"/>
  <c r="Y57" i="1"/>
  <c r="X57" i="1"/>
  <c r="O57" i="1"/>
  <c r="AM57" i="1" s="1"/>
  <c r="N57" i="1"/>
  <c r="AL57" i="1" s="1"/>
  <c r="Y56" i="1"/>
  <c r="X56" i="1"/>
  <c r="O56" i="1"/>
  <c r="AM56" i="1" s="1"/>
  <c r="N56" i="1"/>
  <c r="AL56" i="1" s="1"/>
  <c r="Y55" i="1"/>
  <c r="X55" i="1"/>
  <c r="O55" i="1"/>
  <c r="AM55" i="1" s="1"/>
  <c r="N55" i="1"/>
  <c r="AL55" i="1" s="1"/>
  <c r="Y54" i="1"/>
  <c r="X54" i="1"/>
  <c r="O54" i="1"/>
  <c r="AM54" i="1" s="1"/>
  <c r="N54" i="1"/>
  <c r="AL54" i="1" s="1"/>
  <c r="Y53" i="1"/>
  <c r="X53" i="1"/>
  <c r="O53" i="1"/>
  <c r="AM53" i="1" s="1"/>
  <c r="N53" i="1"/>
  <c r="AL53" i="1" s="1"/>
  <c r="Y52" i="1"/>
  <c r="X52" i="1"/>
  <c r="O52" i="1"/>
  <c r="AM52" i="1" s="1"/>
  <c r="N52" i="1"/>
  <c r="AL52" i="1" s="1"/>
  <c r="AC51" i="1"/>
  <c r="AC93" i="1" s="1"/>
  <c r="AB51" i="1"/>
  <c r="AB93" i="1" s="1"/>
  <c r="Y51" i="1"/>
  <c r="X51" i="1"/>
  <c r="O51" i="1"/>
  <c r="AM51" i="1" s="1"/>
  <c r="N51" i="1"/>
  <c r="AL51" i="1" s="1"/>
  <c r="Y50" i="1"/>
  <c r="X50" i="1"/>
  <c r="O50" i="1"/>
  <c r="AM50" i="1" s="1"/>
  <c r="N50" i="1"/>
  <c r="AL50" i="1" s="1"/>
  <c r="Y49" i="1"/>
  <c r="X49" i="1"/>
  <c r="O49" i="1"/>
  <c r="AM49" i="1" s="1"/>
  <c r="N49" i="1"/>
  <c r="AL49" i="1" s="1"/>
  <c r="Y48" i="1"/>
  <c r="X48" i="1"/>
  <c r="O48" i="1"/>
  <c r="AM48" i="1" s="1"/>
  <c r="N48" i="1"/>
  <c r="AL48" i="1" s="1"/>
  <c r="Y47" i="1"/>
  <c r="X47" i="1"/>
  <c r="O47" i="1"/>
  <c r="AM47" i="1" s="1"/>
  <c r="N47" i="1"/>
  <c r="AL47" i="1" s="1"/>
  <c r="Y46" i="1"/>
  <c r="X46" i="1"/>
  <c r="O46" i="1"/>
  <c r="AM46" i="1" s="1"/>
  <c r="N46" i="1"/>
  <c r="AL46" i="1" s="1"/>
  <c r="Y45" i="1"/>
  <c r="X45" i="1"/>
  <c r="O45" i="1"/>
  <c r="AM45" i="1" s="1"/>
  <c r="N45" i="1"/>
  <c r="AL45" i="1" s="1"/>
  <c r="Y44" i="1"/>
  <c r="X44" i="1"/>
  <c r="O44" i="1"/>
  <c r="AM44" i="1" s="1"/>
  <c r="N44" i="1"/>
  <c r="AL44" i="1" s="1"/>
  <c r="Y43" i="1"/>
  <c r="X43" i="1"/>
  <c r="O43" i="1"/>
  <c r="AM43" i="1" s="1"/>
  <c r="N43" i="1"/>
  <c r="AL43" i="1" s="1"/>
  <c r="Y42" i="1"/>
  <c r="X42" i="1"/>
  <c r="O42" i="1"/>
  <c r="AM42" i="1" s="1"/>
  <c r="N42" i="1"/>
  <c r="AL42" i="1" s="1"/>
  <c r="Y41" i="1"/>
  <c r="X41" i="1"/>
  <c r="O41" i="1"/>
  <c r="AM41" i="1" s="1"/>
  <c r="N41" i="1"/>
  <c r="AL41" i="1" s="1"/>
  <c r="Y40" i="1"/>
  <c r="X40" i="1"/>
  <c r="O40" i="1"/>
  <c r="AM40" i="1" s="1"/>
  <c r="N40" i="1"/>
  <c r="AL40" i="1" s="1"/>
  <c r="Y39" i="1"/>
  <c r="X39" i="1"/>
  <c r="O39" i="1"/>
  <c r="AM39" i="1" s="1"/>
  <c r="N39" i="1"/>
  <c r="AL39" i="1" s="1"/>
  <c r="Y38" i="1"/>
  <c r="X38" i="1"/>
  <c r="Q38" i="1"/>
  <c r="P38" i="1"/>
  <c r="O38" i="1"/>
  <c r="AM38" i="1" s="1"/>
  <c r="N38" i="1"/>
  <c r="AL38" i="1" s="1"/>
  <c r="Y37" i="1"/>
  <c r="X37" i="1"/>
  <c r="O37" i="1"/>
  <c r="AM37" i="1" s="1"/>
  <c r="N37" i="1"/>
  <c r="AL37" i="1" s="1"/>
  <c r="Y36" i="1"/>
  <c r="X36" i="1"/>
  <c r="O36" i="1"/>
  <c r="AM36" i="1" s="1"/>
  <c r="N36" i="1"/>
  <c r="AL36" i="1" s="1"/>
  <c r="Y35" i="1"/>
  <c r="X35" i="1"/>
  <c r="O35" i="1"/>
  <c r="AM35" i="1" s="1"/>
  <c r="N35" i="1"/>
  <c r="AL35" i="1" s="1"/>
  <c r="Y34" i="1"/>
  <c r="X34" i="1"/>
  <c r="O34" i="1"/>
  <c r="AM34" i="1" s="1"/>
  <c r="N34" i="1"/>
  <c r="AL34" i="1" s="1"/>
  <c r="Y33" i="1"/>
  <c r="X33" i="1"/>
  <c r="O33" i="1"/>
  <c r="AM33" i="1" s="1"/>
  <c r="N33" i="1"/>
  <c r="Y32" i="1"/>
  <c r="X32" i="1"/>
  <c r="O32" i="1"/>
  <c r="AM32" i="1" s="1"/>
  <c r="N32" i="1"/>
  <c r="AL32" i="1" s="1"/>
  <c r="Y31" i="1"/>
  <c r="X31" i="1"/>
  <c r="O31" i="1"/>
  <c r="AM31" i="1" s="1"/>
  <c r="N31" i="1"/>
  <c r="Y30" i="1"/>
  <c r="X30" i="1"/>
  <c r="O30" i="1"/>
  <c r="AM30" i="1" s="1"/>
  <c r="N30" i="1"/>
  <c r="AL30" i="1" s="1"/>
  <c r="Y29" i="1"/>
  <c r="X29" i="1"/>
  <c r="O29" i="1"/>
  <c r="AM29" i="1" s="1"/>
  <c r="N29" i="1"/>
  <c r="AL29" i="1" s="1"/>
  <c r="Y28" i="1"/>
  <c r="X28" i="1"/>
  <c r="O28" i="1"/>
  <c r="AM28" i="1" s="1"/>
  <c r="N28" i="1"/>
  <c r="AL28" i="1" s="1"/>
  <c r="Y27" i="1"/>
  <c r="X27" i="1"/>
  <c r="O27" i="1"/>
  <c r="AM27" i="1" s="1"/>
  <c r="N27" i="1"/>
  <c r="AL27" i="1" s="1"/>
  <c r="Y26" i="1"/>
  <c r="X26" i="1"/>
  <c r="O26" i="1"/>
  <c r="AM26" i="1" s="1"/>
  <c r="N26" i="1"/>
  <c r="AL26" i="1" s="1"/>
  <c r="Y25" i="1"/>
  <c r="X25" i="1"/>
  <c r="O25" i="1"/>
  <c r="AM25" i="1" s="1"/>
  <c r="N25" i="1"/>
  <c r="Y24" i="1"/>
  <c r="X24" i="1"/>
  <c r="Q24" i="1"/>
  <c r="AM24" i="1" s="1"/>
  <c r="P24" i="1"/>
  <c r="P93" i="1" s="1"/>
  <c r="O24" i="1"/>
  <c r="N24" i="1"/>
  <c r="Y23" i="1"/>
  <c r="X23" i="1"/>
  <c r="O23" i="1"/>
  <c r="AM23" i="1" s="1"/>
  <c r="N23" i="1"/>
  <c r="AL23" i="1" s="1"/>
  <c r="Y22" i="1"/>
  <c r="X22" i="1"/>
  <c r="O22" i="1"/>
  <c r="AM22" i="1" s="1"/>
  <c r="N22" i="1"/>
  <c r="W21" i="1"/>
  <c r="W93" i="1" s="1"/>
  <c r="V21" i="1"/>
  <c r="V93" i="1" s="1"/>
  <c r="U21" i="1"/>
  <c r="U93" i="1" s="1"/>
  <c r="T21" i="1"/>
  <c r="S21" i="1"/>
  <c r="S93" i="1" s="1"/>
  <c r="R21" i="1"/>
  <c r="O21" i="1"/>
  <c r="N21" i="1"/>
  <c r="Y20" i="1"/>
  <c r="X20" i="1"/>
  <c r="O20" i="1"/>
  <c r="AM20" i="1" s="1"/>
  <c r="N20" i="1"/>
  <c r="AL20" i="1" s="1"/>
  <c r="Y19" i="1"/>
  <c r="X19" i="1"/>
  <c r="O19" i="1"/>
  <c r="AM19" i="1" s="1"/>
  <c r="N19" i="1"/>
  <c r="AL19" i="1" s="1"/>
  <c r="AL18" i="1"/>
  <c r="Y18" i="1"/>
  <c r="X18" i="1"/>
  <c r="Q18" i="1"/>
  <c r="O18" i="1"/>
  <c r="AM18" i="1" s="1"/>
  <c r="C18" i="1"/>
  <c r="B18" i="1"/>
  <c r="N18" i="1" s="1"/>
  <c r="AM17" i="1"/>
  <c r="Y17" i="1"/>
  <c r="X17" i="1"/>
  <c r="O17" i="1"/>
  <c r="N17" i="1"/>
  <c r="AL17" i="1" s="1"/>
  <c r="AE16" i="1"/>
  <c r="AE93" i="1" s="1"/>
  <c r="AD16" i="1"/>
  <c r="AD93" i="1" s="1"/>
  <c r="Y16" i="1"/>
  <c r="X16" i="1"/>
  <c r="Q16" i="1"/>
  <c r="P16" i="1"/>
  <c r="O16" i="1"/>
  <c r="N16" i="1"/>
  <c r="AL16" i="1" s="1"/>
  <c r="AM15" i="1"/>
  <c r="Y15" i="1"/>
  <c r="X15" i="1"/>
  <c r="O15" i="1"/>
  <c r="N15" i="1"/>
  <c r="AL15" i="1" s="1"/>
  <c r="Y14" i="1"/>
  <c r="X14" i="1"/>
  <c r="N14" i="1"/>
  <c r="AL14" i="1" s="1"/>
  <c r="I14" i="1"/>
  <c r="H14" i="1"/>
  <c r="Y13" i="1"/>
  <c r="X13" i="1"/>
  <c r="O13" i="1"/>
  <c r="AM13" i="1" s="1"/>
  <c r="N13" i="1"/>
  <c r="AL13" i="1" s="1"/>
  <c r="AM12" i="1"/>
  <c r="Y12" i="1"/>
  <c r="X12" i="1"/>
  <c r="O12" i="1"/>
  <c r="N12" i="1"/>
  <c r="AL12" i="1" s="1"/>
  <c r="Y11" i="1"/>
  <c r="X11" i="1"/>
  <c r="O11" i="1"/>
  <c r="N11" i="1"/>
  <c r="AL11" i="1" s="1"/>
  <c r="AM10" i="1"/>
  <c r="Y10" i="1"/>
  <c r="X10" i="1"/>
  <c r="O10" i="1"/>
  <c r="N10" i="1"/>
  <c r="AL10" i="1" s="1"/>
  <c r="AK9" i="1"/>
  <c r="AK93" i="1" s="1"/>
  <c r="AJ9" i="1"/>
  <c r="Y9" i="1"/>
  <c r="X9" i="1"/>
  <c r="O9" i="1"/>
  <c r="AM9" i="1" s="1"/>
  <c r="C9" i="1"/>
  <c r="B9" i="1"/>
  <c r="N9" i="1" s="1"/>
  <c r="AL9" i="1" s="1"/>
  <c r="Y8" i="1"/>
  <c r="X8" i="1"/>
  <c r="Q8" i="1"/>
  <c r="P8" i="1"/>
  <c r="M8" i="1"/>
  <c r="M93" i="1" s="1"/>
  <c r="L8" i="1"/>
  <c r="I8" i="1"/>
  <c r="H8" i="1"/>
  <c r="N8" i="1" s="1"/>
  <c r="AL8" i="1" s="1"/>
  <c r="C8" i="1"/>
  <c r="B8" i="1"/>
  <c r="B93" i="1" s="1"/>
  <c r="Y7" i="1"/>
  <c r="X7" i="1"/>
  <c r="O7" i="1"/>
  <c r="N7" i="1"/>
  <c r="N31" i="2" l="1"/>
  <c r="AL8" i="2"/>
  <c r="AL9" i="2"/>
  <c r="AL10" i="2"/>
  <c r="O8" i="2"/>
  <c r="O31" i="2" s="1"/>
  <c r="X27" i="2"/>
  <c r="AL27" i="2" s="1"/>
  <c r="AL6" i="2"/>
  <c r="X11" i="2"/>
  <c r="AL11" i="2" s="1"/>
  <c r="Y11" i="2"/>
  <c r="AM11" i="2" s="1"/>
  <c r="O14" i="1"/>
  <c r="AM14" i="1" s="1"/>
  <c r="I93" i="1"/>
  <c r="C93" i="1"/>
  <c r="O8" i="1"/>
  <c r="AM8" i="1" s="1"/>
  <c r="Q93" i="1"/>
  <c r="AL24" i="1"/>
  <c r="AL31" i="1"/>
  <c r="R93" i="1"/>
  <c r="X21" i="1"/>
  <c r="AL21" i="1" s="1"/>
  <c r="AM16" i="1"/>
  <c r="N93" i="1"/>
  <c r="AM11" i="1"/>
  <c r="X93" i="1"/>
  <c r="AL22" i="1"/>
  <c r="AL25" i="1"/>
  <c r="AL33" i="1"/>
  <c r="T93" i="1"/>
  <c r="AL7" i="1"/>
  <c r="AL93" i="1" s="1"/>
  <c r="AM7" i="1"/>
  <c r="Y21" i="1"/>
  <c r="AM21" i="1" s="1"/>
  <c r="AL31" i="2" l="1"/>
  <c r="X31" i="2"/>
  <c r="AM8" i="2"/>
  <c r="AM31" i="2" s="1"/>
  <c r="Y31" i="2"/>
  <c r="AM93" i="1"/>
  <c r="O93" i="1"/>
  <c r="Y93" i="1"/>
</calcChain>
</file>

<file path=xl/sharedStrings.xml><?xml version="1.0" encoding="utf-8"?>
<sst xmlns="http://schemas.openxmlformats.org/spreadsheetml/2006/main" count="242" uniqueCount="140">
  <si>
    <t xml:space="preserve">Інформація про фактичне виконання підприємствами договорів 2017 року на виготовлення та поставку технічних та інших засобів реабілітації   станом   на 01.05.2018 р.                            </t>
  </si>
  <si>
    <t>Назва підприємства</t>
  </si>
  <si>
    <t>в тому числі:</t>
  </si>
  <si>
    <t>Всього протезно-ортопедичні вироби</t>
  </si>
  <si>
    <t>ОРТОПЕДИЧНЕ ВЗУТТЯ (ВИГОТОВЛЕНЕ ЗА ІНДИВІДУАЛЬНИМ ЗАМОВЛЕННЯМ)</t>
  </si>
  <si>
    <t>Протези молочної залози</t>
  </si>
  <si>
    <t>ЗАСОБИ ДЛЯ ПЕРЕСУВАННЯ</t>
  </si>
  <si>
    <t>ЗАСОБИ РЕАБІЛІТАЦІЇ</t>
  </si>
  <si>
    <t>Ремонт взуття</t>
  </si>
  <si>
    <t>РЕМОНТ ЗАСОБІВ РЕАБІЛІТАЦІЇЇ</t>
  </si>
  <si>
    <t>РЕМОНТ КОЛЯСОК</t>
  </si>
  <si>
    <t>Ремонт ПОВ</t>
  </si>
  <si>
    <t>Разом технічні та інші засоби реабілітації</t>
  </si>
  <si>
    <t>ДОПОМІЖНІ ЗАСОБИ ДЛЯ ОСОБИСТОГО ДОГЛЯДУ ТА ЗАХИСТУ</t>
  </si>
  <si>
    <t>СИСТЕМА ОРТЕЗІВ НА ВЕРХНІ КІНЦІВКИ: ОРТЕЗИ ШАРНІРНІ (АПАРАТИ), ОРТЕЗИ БЕЗШАРНІРНІ (ТУТОРИ)</t>
  </si>
  <si>
    <t>СИСТЕМА ОРТЕЗІВ НА НИЖНІ КІНЦІВКИ: ОРТЕЗИ ШАРНІРНІ (АПАРАТИ), ОРТЕЗИ БЕЗШАРНІРНІ   (ТУТОРИ)</t>
  </si>
  <si>
    <t>СИСТЕМА ОРТЕЗІВ НА ХРЕБЕТ</t>
  </si>
  <si>
    <t>СИСТЕМА ПРОТЕЗІВ ВЕРХНІХ КІНЦІВОК</t>
  </si>
  <si>
    <t>СИСТЕМА ПРОТЕЗІВ НИЖНІХ КІНЦІВОК</t>
  </si>
  <si>
    <t>ПРОТЕЗИ МОЛОЧНОЇ ЗАЛОЗИ</t>
  </si>
  <si>
    <t>Кіл-ть заяв</t>
  </si>
  <si>
    <t>Сума (тис.грн)</t>
  </si>
  <si>
    <t>ВIННИЦЬКЕ КАЗЕННЕ ЕКСПЕРИМЕНТАЛЬНЕ ПРОТЕЗНО-ОРТОПЕДИЧНЕ ПІДПРИЄМСТВО</t>
  </si>
  <si>
    <t>ДНІПРОПЕТРОВСЬКЕ КАЗЕННЕ ЕКСПЕРИМЕНТАЛЬНЕ ПРОТЕЗНО-ОРТОПЕДИЧНЕ ПІДПРИЄМСТВО</t>
  </si>
  <si>
    <t>ЖИТОМИРСЬКЕ ДЕРЖАВНЕ ЕКСПЕРИМЕНТАЛЬНЕ ПРОТЕЗНО-ОРТОПЕДИЧНЕ ПІДПРИЄМСТВО</t>
  </si>
  <si>
    <t>КИЇВСЬКЕ КАЗЕННЕ ЕКСПЕРИМЕНТАЛЬНЕ ПРОТЕЗНО-ОРТОПЕДИЧНЕ ПІДПРИЄМСТВО</t>
  </si>
  <si>
    <t>ЛЬВIВСЬКЕ КАЗЕННЕ ЕКСПЕРИМЕНТАЛЬНЕ ПІДПРИЄМСТВО ЗАСОБІВ ПЕРЕСУВАННЯ І ПРОТЕЗУВАННЯ</t>
  </si>
  <si>
    <t>МИКОЛАЇВСЬКЕ ДЕРЖАВНЕ ЕКСПЕРИМЕНТАЛЬНЕ ПРОТЕЗНО-ОРТОПЕДИЧНЕ ПІДПРИЄМСТВО</t>
  </si>
  <si>
    <t>ОДЕСЬКЕ КАЗЕННЕ ЕКСПЕРИМЕНТАЛЬНЕ ПРОТЕЗНО-ОРТОПЕДИЧНЕ ПІДПРИЄМСТВО</t>
  </si>
  <si>
    <t>ПОЛТАВСЬКЕ КАЗЕННЕ ЕКСПЕРИМЕНТАЛЬНЕ ПРОТЕЗНО-ОРТОПЕДИЧНЕ ПІДПРИЄМСТВО</t>
  </si>
  <si>
    <t>ТЕРНОПIЛЬСКЕ КАЗЕННЕ ЕКСПЕРИМЕНТАЛЬНЕ ПРОТЕЗНО-ОРТОПЕДИЧНЕ ПІДПРИЄМСТВО</t>
  </si>
  <si>
    <t>ХАРКIВСЬКЕ КАЗЕННЕ ЕКСПЕРИМЕНТАЛЬНЕ ПРОТЕЗНО-ОРТОПЕДИЧНЕ ПІДПРИЄМСТВО</t>
  </si>
  <si>
    <t>ХАРКІВСЬКЕ ДЕРЖАВНЕ ДОСЛІДНЕ ПРОТЕЗНЕ ПІДПРИЄМСТВО</t>
  </si>
  <si>
    <t>ХМЕЛЬНИЦЬКЕ ДЕРЖАВНЕ ЕКСПЕРИМЕНТАЛЬНЕ ПРОТЕЗНО-ОРТОПЕДИЧНЕ ПІДПРИЄМСТВО</t>
  </si>
  <si>
    <t>"СПЕЦІАЛІЗОВАНИЙ ЦЕНТР РЕАБІЛІТАЦІЇ" ТОВ "ОРТСАБО"</t>
  </si>
  <si>
    <t>МІЖГАЛУЗЕВЕ УЧБОВО-ВИРОБНИЧЕ ПІДПРИЄМСТВО ВСЕУКРАЇНСЬКОЇ ОРГАНІЗАЦІЇ ІНВАЛІДІВ “СОЮЗ ОРГАНІЗАЦІЙ ІНВАЛІДІВ УКРАЇНИ” “АПЕКС”</t>
  </si>
  <si>
    <t>ОРТОПЕДИЧНИЙ НАУКОВО-ВИРОБНИЧИЙ РЕАБІЛІТАЦІЙНИЙ ЦЕНТР  "ОРТЕС"</t>
  </si>
  <si>
    <t>ПІДПРИЄМСТВО "ВЛАДІСЛАВА"ВСЕУКРАЇНСЬКА ОРГАНІЗАЦІЯ ІНВАЛІДІВ "СОЮЗ ОРГАНІЗАЦІЙ ІНВАЛІДІВ УКРАЇНИ</t>
  </si>
  <si>
    <t>ПІДПРИЄМСТВО "ОРТО-КРОК" ЛОГО "ПІЛ"</t>
  </si>
  <si>
    <t>ПІДПРИЄМСТВО "ЯСЕНИ" ТОВАРИСТВА ІНВАЛІДІВ "РОК"</t>
  </si>
  <si>
    <t>ПІДПРИЄМСТВО ОБ’ЄДНАННЯ ГРОМАДЯН "ІНВАТЕХ"</t>
  </si>
  <si>
    <t>ПОГ "ІНВАТЕХ" ГО "ІНВАЦЕНТР"</t>
  </si>
  <si>
    <t>ПОГ "ЦЕНТР КОМПЛЕКСНОЇ РЕАБІЛІТАЦІЇ ІНВАЛІДІВ "АКМЕА"</t>
  </si>
  <si>
    <t>ПП "АРОЛ ПЛЮС"</t>
  </si>
  <si>
    <t>ПП "М.ЯЩУК"</t>
  </si>
  <si>
    <t>ПП "ПО "ДОПОМОГА" (ПП "ЦП "ІНВАЛТРУД")</t>
  </si>
  <si>
    <t>ПРАТ (ПАТ) „ЗАВОД „АРТЕМЗВАРЮВАННЯ”</t>
  </si>
  <si>
    <t>ПРИВАТНЕ АКЦІОНЕРНЕ ТОВАРИСТВО "ДЕРЕВООБРОБНИЙ ЗАВОД "ЯВІР"</t>
  </si>
  <si>
    <t>ПРИВАТНЕ МАЛЕ ПІДПРИЄМСТВО "РАЗАН"</t>
  </si>
  <si>
    <t>ПРИВАТНЕ ПІДПРИЄМСТВО "БІО"</t>
  </si>
  <si>
    <t>ПРИВАТНЕ ПІДПРИЄМСТВО "ЕСКУЛАП"</t>
  </si>
  <si>
    <t>ПРИВАТНЕ ПІДПРИЄМСТВО "ОРТОПЕДСЕРВІСЦЕНТР"</t>
  </si>
  <si>
    <t>ПРИВАТНЕ ПІДПРИЄМСТВО "ОРТОСВІТ"</t>
  </si>
  <si>
    <t>ПРИВАТНЕ ПІДПРИЄМСТВО "ОРТОТОП"</t>
  </si>
  <si>
    <t>ПРИВАТНЕ ПІДПРИЄМСТВО "ПОСТУП-ОРТО"</t>
  </si>
  <si>
    <t>ПРИВАТНЕ ПІДПРИЄМСТВО "ПРОТЕЗНО-ОРТОПЕДИЧНА МАЙСТЕРНЯ"</t>
  </si>
  <si>
    <t>ПРИВАТНЕ ПІДПРИЄМСТВО "ФОРВАРД-ОРТО"</t>
  </si>
  <si>
    <t>ПРИВАТНЕ ПІДПРИЄМСТВО"ТЕРНО-ТОП"</t>
  </si>
  <si>
    <t>ПРИВАТНЕ ПРОТЕЗНО-ОРТОПЕДИЧНЕ ПІДПРИЄМСТВО "ДИНАМІКА"</t>
  </si>
  <si>
    <t>СПЕЦІАЛІЗОВАНЕ ПРОТЕЗНО-ОРТОПЕДИЧНЕ ПІДПРИЄМСТВО "ТОВАРИСТВО З ОБМЕЖЕНОЮ ВІДПОВІДАЛЬНІСТЮ"АЄ. БРІК"</t>
  </si>
  <si>
    <t>ТЗОВ"АКТИВОРТО</t>
  </si>
  <si>
    <t>ТОВ "АРВІТУМ"</t>
  </si>
  <si>
    <t>ТОВ "БЕЗ ОБМЕЖЕНЬ"</t>
  </si>
  <si>
    <t>ТОВ "ВАШЕ ЗДОРОВ'Я ТРЕЙДИНГ"</t>
  </si>
  <si>
    <t>ТОВ "ВИРОБНИЧА КОМПАНІЯ ДІСПОМЕД"</t>
  </si>
  <si>
    <t>ТОВ "МЦ "ОРТОСПАЙН"</t>
  </si>
  <si>
    <t>ТОВ "НОРМА-ТРЕЙД"</t>
  </si>
  <si>
    <t>ТОВ "ОРТЕЗ-ПОЛТАВА"</t>
  </si>
  <si>
    <t>ТОВ "ОРТОТЕХНО"</t>
  </si>
  <si>
    <t>ТОВ "РЦІП "БІОСКУЛЬПТОР"</t>
  </si>
  <si>
    <t>ТОВ "СВІТ ЛІТНЬОЇ ЛЮДИНИ ТА РЕАБІЛІТАЦІЇ", СКОЧИЛОВ</t>
  </si>
  <si>
    <t>ТОВ "СЛАЙГ МЕДІКАЛ"</t>
  </si>
  <si>
    <t>ТОВ "ФЕНІКС-МЕДІКАЛ"</t>
  </si>
  <si>
    <t>ТОВ АТ"ОРТОДОПОМОГА"</t>
  </si>
  <si>
    <t>ТОВ"НАУКОВО-ВИРОБНИЧА ФІРМА "ОРТТЕХ-ПЛЮС"</t>
  </si>
  <si>
    <t>ТОВ"НАУКОВО-ТЕХНІЧНЕ ПІДПРИЄМСТВО "СПЕЦМЕДТЕХНІКА"</t>
  </si>
  <si>
    <t>ТОВ"ПРИВАТНЕ КИЇВСЬКЕ ПРОТЕЗНО-ОРТОПЕДИЧНЕ ПІДПРИЄМСТВО"</t>
  </si>
  <si>
    <t>ТОВ"ПРОТЕЗНО-ОРТОПЕДИЧНИЙ ЦЕНТР"МАЛЬВИ"</t>
  </si>
  <si>
    <t>ТОВАРИСТВО "ОРТОМЕДИКА"</t>
  </si>
  <si>
    <t>ТОВАРИСТВО З ОБМЕЖЕННОЮ ВІДПОВІДАЛЬНІСТЮ "ТАНТА ПЛЮС"</t>
  </si>
  <si>
    <t>ТОВАРИСТВО З ОБМЕЖЕНОЮ ВІДПОВІДАЛЬНІСТЮ "АНТИС-ОРТО"</t>
  </si>
  <si>
    <t>ТОВАРИСТВО З ОБМЕЖЕНОЮ ВІДПОВІДАЛЬНІСТЮ "ВИРОБНИЧЕ ПРОТЕЗНО-ОРТОПЕДИЧНЕ ПІДПРИЄМСТВО "ОПОРА-ПЛЮС"</t>
  </si>
  <si>
    <t>ТОВАРИСТВО З ОБМЕЖЕНОЮ ВІДПОВІДАЛЬНІСТЮ "ДРУКМАШ-ЦЕНТР"</t>
  </si>
  <si>
    <t>ТОВАРИСТВО З ОБМЕЖЕНОЮ ВІДПОВІДАЛЬНІСТЮ "НАУКОВО-ВИРОБНИЧИЙ ЦЕНТР "АНТЕЙ-ЛТД"</t>
  </si>
  <si>
    <t>ТОВАРИСТВО З ОБМЕЖЕНОЮ ВІДПОВІДАЛЬНІСТЮ "ОРТ-ДЦП-СПЕЦІАЛІЗОВАНИЙ ЦЕНТР РЕАБІЛІТАЦІЇ"</t>
  </si>
  <si>
    <t>ТОВАРИСТВО З ОБМЕЖЕНОЮ ВІДПОВІДАЛЬНІСТЮ "ОРТЕЗ-ПРО"</t>
  </si>
  <si>
    <t>ТОВАРИСТВО З ОБМЕЖЕНОЮ ВІДПОВІДАЛЬНІСТЮ "ОРТОТЕХ-СЕРВІС ГМБХ"</t>
  </si>
  <si>
    <t>ТОВАРИСТВО З ОБМЕЖЕНОЮ ВІДПОВІДАЛЬНІСТЮ "ПРОТЕЗНО-ОРТОПЕДИЧНЕ ПІДПРИЄМСТВО "БІОТЕХНІКА"</t>
  </si>
  <si>
    <t>ТОВАРИСТВО З ОБМЕЖЕНОЮ ВІДПОВІДАЛЬНІСТЮ "СИГМА-ОРТО"</t>
  </si>
  <si>
    <t>ТОВАРИСТВО З ОБМЕЖЕНОЮ ВІДПОВІДАЛЬНІСТЮ "ТУРБОТА"</t>
  </si>
  <si>
    <t>ТОВАРИСТВО З ОБМЕЖЕНОЮ ВІДПОВІДАЛЬНІСТЮ "ЦЕНТР ПРОТЕЗУВАННЯ "ІНВАЛТРУД"</t>
  </si>
  <si>
    <t>ТОВАРИСТВО З ОБМЕЖЕНОЮ ВІДПОВІДАЛЬНІСТЮ"ЛАЙФ МЕДІКАЛ"</t>
  </si>
  <si>
    <t>ТОВАРИСТВО З ОБМЕЖЕНОЮ ВІДПОВІДАЛЬНІСТЮ"НАУКОВО ВИРОБНИЧИЙ ЦЕНТР АЛЬМА"</t>
  </si>
  <si>
    <t>ТОВАРИСТВО ЦЕНТР ПРОТЕЗУВАННЯ "ЕДВАРДС"</t>
  </si>
  <si>
    <t>УКРАЇНСЬКИЙ ЦЕНТР РЕАБІЛІТАЦІЇ ВЕТЕРАНІВ АФГАНІСТАНУ</t>
  </si>
  <si>
    <t>ФІЗИЧНА ОСОБА ПІДПРИЄМЕЦЬ БОНДАРЕНКО Є.Г.</t>
  </si>
  <si>
    <t>ФІЗИЧНА ОСОБА-ПІДПРИЄМЕЦЬ ДЕНЕГА ВОЛОДИМИР ІГОРОВИЧ</t>
  </si>
  <si>
    <t>ФОП "КОСТРИБА М.В."</t>
  </si>
  <si>
    <t>ФОП БІЛОСВІТ ВІТАЛІЙ МИКОЛАЙОВИЧ</t>
  </si>
  <si>
    <t>ФОП БОНДАРЕНКО АЛЕВТИНА ВІКТОРІВНА</t>
  </si>
  <si>
    <t>ФОП МУРИГІН В.В.</t>
  </si>
  <si>
    <t>ХМУВП "ВОЛЯ" ХОФ "СОЦІАЛЬНИЙ ЗАХИСТ ТА РЕАБІЛІТАЦІЯ ІНВАЛІДІВ"</t>
  </si>
  <si>
    <t>ЦЕНТР ПРОТЕЗНО-ОРТОПЕДИЧНОЇ ДОПОМОГИ "ПРИВАТНА ФІРМА "ТЕЛЛУС"</t>
  </si>
  <si>
    <t>ЦЕНТР ПРОТЕЗНО-ОРТОПЕДИЧНОЇ РЕАБІЛІТАЦІЇ ІНВАЛІДІВ ТОВАРИСТВО З ОБМЕЖЕНОЮ ВІДПОВІДАЛЬНІСТЮ "ОРТТЕХ"</t>
  </si>
  <si>
    <t>ЧЕРНІВЕЦЬКЕ ПРИВАТНЕ ПІДПРИЄМСТВО ІНВАЛІДІВ "ОПОРА"</t>
  </si>
  <si>
    <t>ПІДПРИЄМСТВО"ВЕРСАВІЯ" ТОВАРИСТВА ІНВАЛІДІВ "РОК"</t>
  </si>
  <si>
    <t>ТОВАРИСТВОЗ ОБМЕЖЕНОЮ ВІДПОВІДАЛЬНІСТЮ "РЕАБІЛІТАЦІЯ ЛТД"</t>
  </si>
  <si>
    <t>ТОВ"ТРАНСРЕАЛ"</t>
  </si>
  <si>
    <t>разом</t>
  </si>
  <si>
    <t>Виконавець:</t>
  </si>
  <si>
    <t>Начальник відділу по забезпеченню ТЗР</t>
  </si>
  <si>
    <t>В.Субботінова</t>
  </si>
  <si>
    <t xml:space="preserve">  </t>
  </si>
  <si>
    <t xml:space="preserve"> Інформація про фактичне виконання договорів 2017 року на виготовлення та поставку технічних та інших засобів реабілітації   у розрізі регіонів  станом на 01.05.2018 р.                            </t>
  </si>
  <si>
    <t>Область(поштова адреса заявника)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</si>
  <si>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</si>
  <si>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</si>
  <si>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</si>
  <si>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</si>
  <si>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</si>
  <si>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</si>
  <si>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</si>
  <si>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</si>
  <si>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</si>
  <si>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</si>
  <si>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</si>
  <si>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</si>
  <si>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М.КИЇВ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</si>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</sst>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 Narrow"/>
      <family val="2"/>
      <charset val="204"/>
    </font>
    <font>
      <b/>
      <sz val="9"/>
      <name val="Arial Narrow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b/>
      <sz val="9"/>
      <color indexed="13"/>
      <name val="Arial Narrow"/>
      <family val="2"/>
      <charset val="204"/>
    </font>
    <font>
      <b/>
      <sz val="9"/>
      <color theme="0"/>
      <name val="Arial Narrow"/>
      <family val="2"/>
      <charset val="204"/>
    </font>
    <font>
      <b/>
      <sz val="10"/>
      <color indexed="13"/>
      <name val="Arial Narrow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 applyBorder="1" applyAlignment="1">
      <alignment wrapText="1"/>
    </xf>
    <xf numFmtId="0" fontId="1" fillId="0" borderId="0" xfId="1" applyBorder="1"/>
    <xf numFmtId="0" fontId="1" fillId="0" borderId="0" xfId="1"/>
    <xf numFmtId="0" fontId="2" fillId="2" borderId="0" xfId="2" applyFont="1" applyFill="1" applyBorder="1" applyAlignment="1">
      <alignment vertical="top" wrapText="1"/>
    </xf>
    <xf numFmtId="0" fontId="1" fillId="2" borderId="0" xfId="1" applyFill="1" applyBorder="1" applyAlignment="1">
      <alignment wrapText="1"/>
    </xf>
    <xf numFmtId="164" fontId="6" fillId="3" borderId="1" xfId="4" applyNumberFormat="1" applyFont="1" applyFill="1" applyBorder="1" applyAlignment="1">
      <alignment horizontal="center" wrapText="1"/>
    </xf>
    <xf numFmtId="43" fontId="6" fillId="3" borderId="1" xfId="4" applyFont="1" applyFill="1" applyBorder="1" applyAlignment="1">
      <alignment horizontal="center" wrapText="1"/>
    </xf>
    <xf numFmtId="164" fontId="7" fillId="3" borderId="1" xfId="4" applyNumberFormat="1" applyFont="1" applyFill="1" applyBorder="1" applyAlignment="1">
      <alignment horizontal="center" wrapText="1"/>
    </xf>
    <xf numFmtId="43" fontId="7" fillId="3" borderId="1" xfId="4" applyFont="1" applyFill="1" applyBorder="1" applyAlignment="1">
      <alignment horizontal="center" wrapText="1"/>
    </xf>
    <xf numFmtId="164" fontId="8" fillId="3" borderId="1" xfId="4" applyNumberFormat="1" applyFont="1" applyFill="1" applyBorder="1" applyAlignment="1">
      <alignment horizontal="center" wrapText="1"/>
    </xf>
    <xf numFmtId="43" fontId="8" fillId="3" borderId="1" xfId="4" applyFont="1" applyFill="1" applyBorder="1" applyAlignment="1">
      <alignment horizontal="center" wrapText="1"/>
    </xf>
    <xf numFmtId="43" fontId="8" fillId="3" borderId="5" xfId="4" applyFont="1" applyFill="1" applyBorder="1" applyAlignment="1">
      <alignment horizontal="center" wrapText="1"/>
    </xf>
    <xf numFmtId="0" fontId="1" fillId="0" borderId="2" xfId="1" applyBorder="1" applyAlignment="1">
      <alignment wrapText="1"/>
    </xf>
    <xf numFmtId="0" fontId="1" fillId="0" borderId="2" xfId="1" applyBorder="1"/>
    <xf numFmtId="0" fontId="1" fillId="0" borderId="2" xfId="1" applyNumberFormat="1" applyBorder="1"/>
    <xf numFmtId="0" fontId="1" fillId="0" borderId="2" xfId="1" applyNumberFormat="1" applyFill="1" applyBorder="1"/>
    <xf numFmtId="0" fontId="1" fillId="0" borderId="2" xfId="1" applyFill="1" applyBorder="1" applyAlignment="1">
      <alignment wrapText="1"/>
    </xf>
    <xf numFmtId="0" fontId="1" fillId="0" borderId="2" xfId="1" applyFill="1" applyBorder="1"/>
    <xf numFmtId="0" fontId="1" fillId="2" borderId="2" xfId="1" applyFill="1" applyBorder="1" applyAlignment="1">
      <alignment wrapText="1"/>
    </xf>
    <xf numFmtId="0" fontId="9" fillId="0" borderId="0" xfId="1" applyNumberFormat="1" applyFont="1" applyFill="1" applyBorder="1"/>
    <xf numFmtId="0" fontId="10" fillId="0" borderId="0" xfId="1" applyFont="1" applyBorder="1"/>
    <xf numFmtId="0" fontId="1" fillId="0" borderId="0" xfId="1" applyAlignment="1">
      <alignment wrapText="1"/>
    </xf>
    <xf numFmtId="0" fontId="1" fillId="0" borderId="0" xfId="1" applyFill="1"/>
    <xf numFmtId="164" fontId="6" fillId="3" borderId="2" xfId="4" applyNumberFormat="1" applyFont="1" applyFill="1" applyBorder="1" applyAlignment="1">
      <alignment horizontal="center" wrapText="1"/>
    </xf>
    <xf numFmtId="43" fontId="6" fillId="3" borderId="2" xfId="4" applyFont="1" applyFill="1" applyBorder="1" applyAlignment="1">
      <alignment horizontal="center" wrapText="1"/>
    </xf>
    <xf numFmtId="164" fontId="7" fillId="3" borderId="2" xfId="4" applyNumberFormat="1" applyFont="1" applyFill="1" applyBorder="1" applyAlignment="1">
      <alignment horizontal="center" wrapText="1"/>
    </xf>
    <xf numFmtId="43" fontId="7" fillId="3" borderId="2" xfId="4" applyFont="1" applyFill="1" applyBorder="1" applyAlignment="1">
      <alignment horizontal="center" wrapText="1"/>
    </xf>
    <xf numFmtId="164" fontId="8" fillId="3" borderId="2" xfId="4" applyNumberFormat="1" applyFont="1" applyFill="1" applyBorder="1" applyAlignment="1">
      <alignment horizontal="center" wrapText="1"/>
    </xf>
    <xf numFmtId="43" fontId="8" fillId="3" borderId="2" xfId="4" applyFont="1" applyFill="1" applyBorder="1" applyAlignment="1">
      <alignment horizontal="center" wrapText="1"/>
    </xf>
    <xf numFmtId="0" fontId="1" fillId="2" borderId="2" xfId="1" applyFill="1" applyBorder="1"/>
    <xf numFmtId="0" fontId="1" fillId="0" borderId="3" xfId="1" applyFill="1" applyBorder="1"/>
    <xf numFmtId="0" fontId="11" fillId="0" borderId="0" xfId="1" applyFont="1"/>
    <xf numFmtId="0" fontId="3" fillId="0" borderId="2" xfId="2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3" fillId="0" borderId="2" xfId="3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43" fontId="9" fillId="0" borderId="5" xfId="4" applyFont="1" applyBorder="1" applyAlignment="1">
      <alignment horizontal="center" vertical="top" wrapText="1"/>
    </xf>
    <xf numFmtId="43" fontId="9" fillId="0" borderId="6" xfId="4" applyFont="1" applyBorder="1" applyAlignment="1">
      <alignment horizontal="center" vertical="top" wrapText="1"/>
    </xf>
    <xf numFmtId="43" fontId="9" fillId="0" borderId="7" xfId="4" applyFont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2" fillId="2" borderId="0" xfId="2" applyFont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wrapText="1"/>
    </xf>
    <xf numFmtId="0" fontId="1" fillId="2" borderId="3" xfId="1" applyFill="1" applyBorder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</cellXfs>
  <cellStyles count="5">
    <cellStyle name="Звичайний 2" xfId="1"/>
    <cellStyle name="Обычный" xfId="0" builtinId="0"/>
    <cellStyle name="Обычный 2 2" xfId="2"/>
    <cellStyle name="Обычный_2008 9 МІС" xfId="3"/>
    <cellStyle name="Фінансови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6"/>
  <sheetViews>
    <sheetView tabSelected="1" view="pageBreakPreview" zoomScale="9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" sqref="M1:M1048576"/>
    </sheetView>
  </sheetViews>
  <sheetFormatPr defaultRowHeight="12.75" x14ac:dyDescent="0.2"/>
  <cols>
    <col min="1" max="1" width="31.42578125" style="3" customWidth="1"/>
    <col min="2" max="4" width="9.140625" style="3"/>
    <col min="5" max="5" width="14.28515625" style="3" customWidth="1"/>
    <col min="6" max="6" width="9.140625" style="3"/>
    <col min="7" max="7" width="15.42578125" style="3" customWidth="1"/>
    <col min="8" max="14" width="9.140625" style="3"/>
    <col min="15" max="15" width="10" style="3" customWidth="1"/>
    <col min="16" max="16" width="8.5703125" style="3" customWidth="1"/>
    <col min="17" max="17" width="10.140625" style="3" customWidth="1"/>
    <col min="18" max="24" width="9.140625" style="3"/>
    <col min="25" max="25" width="13.85546875" style="3" customWidth="1"/>
    <col min="26" max="28" width="9.140625" style="3"/>
    <col min="29" max="29" width="12.42578125" style="3" customWidth="1"/>
    <col min="30" max="34" width="9.140625" style="3"/>
    <col min="35" max="35" width="13.42578125" style="3" bestFit="1" customWidth="1"/>
    <col min="36" max="38" width="9.140625" style="3"/>
    <col min="39" max="39" width="11.7109375" style="3" customWidth="1"/>
    <col min="40" max="16384" width="9.140625" style="3"/>
  </cols>
  <sheetData>
    <row r="1" spans="1:39" s="23" customFormat="1" ht="16.5" customHeight="1" x14ac:dyDescent="0.2">
      <c r="A1" s="23" t="s">
        <v>112</v>
      </c>
      <c r="B1" s="39" t="s">
        <v>113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39" s="23" customFormat="1" x14ac:dyDescent="0.2"/>
    <row r="3" spans="1:39" s="23" customFormat="1" ht="13.5" x14ac:dyDescent="0.2">
      <c r="A3" s="40" t="s">
        <v>114</v>
      </c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6" t="s">
        <v>3</v>
      </c>
      <c r="O3" s="36"/>
      <c r="P3" s="33" t="s">
        <v>4</v>
      </c>
      <c r="Q3" s="33"/>
      <c r="R3" s="33" t="s">
        <v>2</v>
      </c>
      <c r="S3" s="33"/>
      <c r="T3" s="33"/>
      <c r="U3" s="33"/>
      <c r="V3" s="33"/>
      <c r="W3" s="33"/>
      <c r="X3" s="36" t="s">
        <v>5</v>
      </c>
      <c r="Y3" s="36"/>
      <c r="Z3" s="37" t="s">
        <v>6</v>
      </c>
      <c r="AA3" s="37"/>
      <c r="AB3" s="37" t="s">
        <v>7</v>
      </c>
      <c r="AC3" s="37"/>
      <c r="AD3" s="33" t="s">
        <v>8</v>
      </c>
      <c r="AE3" s="33"/>
      <c r="AF3" s="38" t="s">
        <v>9</v>
      </c>
      <c r="AG3" s="38"/>
      <c r="AH3" s="33" t="s">
        <v>10</v>
      </c>
      <c r="AI3" s="33"/>
      <c r="AJ3" s="33" t="s">
        <v>11</v>
      </c>
      <c r="AK3" s="33"/>
      <c r="AL3" s="34" t="s">
        <v>12</v>
      </c>
      <c r="AM3" s="34"/>
    </row>
    <row r="4" spans="1:39" s="23" customFormat="1" ht="75" customHeight="1" x14ac:dyDescent="0.2">
      <c r="A4" s="41"/>
      <c r="B4" s="35" t="s">
        <v>13</v>
      </c>
      <c r="C4" s="35"/>
      <c r="D4" s="35" t="s">
        <v>14</v>
      </c>
      <c r="E4" s="35"/>
      <c r="F4" s="35" t="s">
        <v>15</v>
      </c>
      <c r="G4" s="35"/>
      <c r="H4" s="35" t="s">
        <v>16</v>
      </c>
      <c r="I4" s="35"/>
      <c r="J4" s="35" t="s">
        <v>17</v>
      </c>
      <c r="K4" s="35"/>
      <c r="L4" s="35" t="s">
        <v>18</v>
      </c>
      <c r="M4" s="35"/>
      <c r="N4" s="36"/>
      <c r="O4" s="36"/>
      <c r="P4" s="33"/>
      <c r="Q4" s="33"/>
      <c r="R4" s="35" t="s">
        <v>13</v>
      </c>
      <c r="S4" s="35"/>
      <c r="T4" s="35" t="s">
        <v>19</v>
      </c>
      <c r="U4" s="35"/>
      <c r="V4" s="35" t="s">
        <v>14</v>
      </c>
      <c r="W4" s="35"/>
      <c r="X4" s="36"/>
      <c r="Y4" s="36"/>
      <c r="Z4" s="37"/>
      <c r="AA4" s="37"/>
      <c r="AB4" s="37"/>
      <c r="AC4" s="37"/>
      <c r="AD4" s="33"/>
      <c r="AE4" s="33"/>
      <c r="AF4" s="38"/>
      <c r="AG4" s="38"/>
      <c r="AH4" s="33"/>
      <c r="AI4" s="33"/>
      <c r="AJ4" s="33"/>
      <c r="AK4" s="33"/>
      <c r="AL4" s="34"/>
      <c r="AM4" s="34"/>
    </row>
    <row r="5" spans="1:39" ht="38.25" customHeight="1" x14ac:dyDescent="0.25">
      <c r="A5" s="42"/>
      <c r="B5" s="24" t="s">
        <v>20</v>
      </c>
      <c r="C5" s="25" t="s">
        <v>21</v>
      </c>
      <c r="D5" s="24" t="s">
        <v>20</v>
      </c>
      <c r="E5" s="25" t="s">
        <v>21</v>
      </c>
      <c r="F5" s="24" t="s">
        <v>20</v>
      </c>
      <c r="G5" s="25" t="s">
        <v>21</v>
      </c>
      <c r="H5" s="24" t="s">
        <v>20</v>
      </c>
      <c r="I5" s="25" t="s">
        <v>21</v>
      </c>
      <c r="J5" s="24" t="s">
        <v>20</v>
      </c>
      <c r="K5" s="25" t="s">
        <v>21</v>
      </c>
      <c r="L5" s="24" t="s">
        <v>20</v>
      </c>
      <c r="M5" s="25" t="s">
        <v>21</v>
      </c>
      <c r="N5" s="26" t="s">
        <v>20</v>
      </c>
      <c r="O5" s="27" t="s">
        <v>21</v>
      </c>
      <c r="P5" s="24" t="s">
        <v>20</v>
      </c>
      <c r="Q5" s="25" t="s">
        <v>21</v>
      </c>
      <c r="R5" s="24" t="s">
        <v>20</v>
      </c>
      <c r="S5" s="25" t="s">
        <v>21</v>
      </c>
      <c r="T5" s="24" t="s">
        <v>20</v>
      </c>
      <c r="U5" s="25" t="s">
        <v>21</v>
      </c>
      <c r="V5" s="24" t="s">
        <v>20</v>
      </c>
      <c r="W5" s="25" t="s">
        <v>21</v>
      </c>
      <c r="X5" s="24" t="s">
        <v>20</v>
      </c>
      <c r="Y5" s="25" t="s">
        <v>21</v>
      </c>
      <c r="Z5" s="28" t="s">
        <v>20</v>
      </c>
      <c r="AA5" s="29" t="s">
        <v>21</v>
      </c>
      <c r="AB5" s="28" t="s">
        <v>20</v>
      </c>
      <c r="AC5" s="29" t="s">
        <v>21</v>
      </c>
      <c r="AD5" s="24" t="s">
        <v>20</v>
      </c>
      <c r="AE5" s="25" t="s">
        <v>21</v>
      </c>
      <c r="AF5" s="24" t="s">
        <v>20</v>
      </c>
      <c r="AG5" s="25" t="s">
        <v>21</v>
      </c>
      <c r="AH5" s="24" t="s">
        <v>20</v>
      </c>
      <c r="AI5" s="25" t="s">
        <v>21</v>
      </c>
      <c r="AJ5" s="24" t="s">
        <v>20</v>
      </c>
      <c r="AK5" s="25" t="s">
        <v>21</v>
      </c>
      <c r="AL5" s="28" t="s">
        <v>20</v>
      </c>
      <c r="AM5" s="29" t="s">
        <v>21</v>
      </c>
    </row>
    <row r="6" spans="1:39" x14ac:dyDescent="0.2">
      <c r="A6" s="14" t="s">
        <v>115</v>
      </c>
      <c r="B6" s="18">
        <v>962</v>
      </c>
      <c r="C6" s="18">
        <v>461.41324000000003</v>
      </c>
      <c r="D6" s="18">
        <v>28</v>
      </c>
      <c r="E6" s="18">
        <v>73.579989999999981</v>
      </c>
      <c r="F6" s="18">
        <v>5955</v>
      </c>
      <c r="G6" s="18">
        <v>7694.2811699999993</v>
      </c>
      <c r="H6" s="18">
        <v>1238</v>
      </c>
      <c r="I6" s="18">
        <v>1601.6010399999998</v>
      </c>
      <c r="J6" s="18">
        <v>26</v>
      </c>
      <c r="K6" s="18">
        <v>635.44738000000007</v>
      </c>
      <c r="L6" s="18">
        <v>591</v>
      </c>
      <c r="M6" s="18">
        <v>20293.706969999999</v>
      </c>
      <c r="N6" s="18">
        <f>B6+D6+F6+H6+J6+L6</f>
        <v>8800</v>
      </c>
      <c r="O6" s="18">
        <f>C6+E6+G6+I6+K6+M6</f>
        <v>30760.029789999997</v>
      </c>
      <c r="P6" s="18">
        <v>14561</v>
      </c>
      <c r="Q6" s="18">
        <v>13829.14551</v>
      </c>
      <c r="R6" s="18">
        <v>4596</v>
      </c>
      <c r="S6" s="18">
        <v>1459.6079999999999</v>
      </c>
      <c r="T6" s="18">
        <v>1639</v>
      </c>
      <c r="U6" s="18">
        <v>2053.5569999999998</v>
      </c>
      <c r="V6" s="18">
        <v>814</v>
      </c>
      <c r="W6" s="18">
        <v>629.21522000000004</v>
      </c>
      <c r="X6" s="18">
        <f>R6+T6+V6</f>
        <v>7049</v>
      </c>
      <c r="Y6" s="18">
        <f>S6+U6+W6</f>
        <v>4142.38022</v>
      </c>
      <c r="Z6" s="18">
        <v>1450</v>
      </c>
      <c r="AA6" s="18">
        <v>22872.007109999999</v>
      </c>
      <c r="AB6" s="18">
        <v>3501</v>
      </c>
      <c r="AC6" s="18">
        <v>9484.6810000000005</v>
      </c>
      <c r="AD6" s="18">
        <v>434</v>
      </c>
      <c r="AE6" s="18">
        <v>72.318060000000003</v>
      </c>
      <c r="AF6" s="18"/>
      <c r="AG6" s="18"/>
      <c r="AH6" s="18">
        <v>86</v>
      </c>
      <c r="AI6" s="18">
        <v>647.69673</v>
      </c>
      <c r="AJ6" s="18">
        <v>206</v>
      </c>
      <c r="AK6" s="18">
        <v>1597.2791200000001</v>
      </c>
      <c r="AL6" s="18">
        <f>AJ6+AH6+AF6+AD6+AB6+Z6+X6+P6+N6</f>
        <v>36087</v>
      </c>
      <c r="AM6" s="18">
        <f>AK6+AI6+AG6+AE6+AC6+AA6+Y6+Q6+O6</f>
        <v>83405.53753999999</v>
      </c>
    </row>
    <row r="7" spans="1:39" x14ac:dyDescent="0.2">
      <c r="A7" s="14" t="s">
        <v>116</v>
      </c>
      <c r="B7" s="18">
        <v>182</v>
      </c>
      <c r="C7" s="18">
        <v>142.51057999999998</v>
      </c>
      <c r="D7" s="18">
        <v>8</v>
      </c>
      <c r="E7" s="18">
        <v>11.539179999999998</v>
      </c>
      <c r="F7" s="18">
        <v>515</v>
      </c>
      <c r="G7" s="18">
        <v>1530.4090099999999</v>
      </c>
      <c r="H7" s="18">
        <v>175</v>
      </c>
      <c r="I7" s="18">
        <v>501.63069999999993</v>
      </c>
      <c r="J7" s="18">
        <v>17</v>
      </c>
      <c r="K7" s="18">
        <v>322.66658000000001</v>
      </c>
      <c r="L7" s="18">
        <v>223</v>
      </c>
      <c r="M7" s="18">
        <v>6356.3073899999999</v>
      </c>
      <c r="N7" s="18">
        <f t="shared" ref="N7:O30" si="0">B7+D7+F7+H7+J7+L7</f>
        <v>1120</v>
      </c>
      <c r="O7" s="18">
        <f t="shared" si="0"/>
        <v>8865.0634399999999</v>
      </c>
      <c r="P7" s="18">
        <v>6134</v>
      </c>
      <c r="Q7" s="18">
        <v>7393.8248899999999</v>
      </c>
      <c r="R7" s="18">
        <v>2771</v>
      </c>
      <c r="S7" s="18">
        <v>865.12300000000005</v>
      </c>
      <c r="T7" s="18">
        <v>1061</v>
      </c>
      <c r="U7" s="18">
        <v>1208.7730000000001</v>
      </c>
      <c r="V7" s="18">
        <v>195</v>
      </c>
      <c r="W7" s="18">
        <v>150.73500000000001</v>
      </c>
      <c r="X7" s="18">
        <f t="shared" ref="X7:Y30" si="1">R7+T7+V7</f>
        <v>4027</v>
      </c>
      <c r="Y7" s="18">
        <f t="shared" si="1"/>
        <v>2224.6310000000003</v>
      </c>
      <c r="Z7" s="18">
        <v>669</v>
      </c>
      <c r="AA7" s="18">
        <v>14138.61282</v>
      </c>
      <c r="AB7" s="18">
        <v>1092</v>
      </c>
      <c r="AC7" s="18">
        <v>4005.2369999999992</v>
      </c>
      <c r="AD7" s="18">
        <v>38</v>
      </c>
      <c r="AE7" s="18">
        <v>4.6316600000000001</v>
      </c>
      <c r="AF7" s="18"/>
      <c r="AG7" s="18"/>
      <c r="AH7" s="18">
        <v>25</v>
      </c>
      <c r="AI7" s="18">
        <v>213.57921999999996</v>
      </c>
      <c r="AJ7" s="18">
        <v>27</v>
      </c>
      <c r="AK7" s="18">
        <v>191.947</v>
      </c>
      <c r="AL7" s="18">
        <f>AJ7+AH7+AF7+AD7+AB7+Z7+X7+P7+N7</f>
        <v>13132</v>
      </c>
      <c r="AM7" s="18">
        <f>AK7+AI7+AG7+AE7+AC7+AA7+Y7+Q7+O7</f>
        <v>37037.527029999997</v>
      </c>
    </row>
    <row r="8" spans="1:39" x14ac:dyDescent="0.2">
      <c r="A8" s="30" t="s">
        <v>117</v>
      </c>
      <c r="B8" s="18">
        <f>1226-6</f>
        <v>1220</v>
      </c>
      <c r="C8" s="18">
        <f>534.72124-0.3564</f>
        <v>534.36483999999996</v>
      </c>
      <c r="D8" s="18">
        <v>71</v>
      </c>
      <c r="E8" s="18">
        <v>238.29568999999998</v>
      </c>
      <c r="F8" s="18">
        <v>1696</v>
      </c>
      <c r="G8" s="18">
        <v>4683.3502399999998</v>
      </c>
      <c r="H8" s="18">
        <f>1101-2</f>
        <v>1099</v>
      </c>
      <c r="I8" s="18">
        <f>1671.38456-1.011-0.6411</f>
        <v>1669.7324599999999</v>
      </c>
      <c r="J8" s="18">
        <v>61</v>
      </c>
      <c r="K8" s="18">
        <v>1326.8769</v>
      </c>
      <c r="L8" s="18">
        <f>866-1</f>
        <v>865</v>
      </c>
      <c r="M8" s="18">
        <f>17274.54124-30.10545</f>
        <v>17244.43579</v>
      </c>
      <c r="N8" s="18">
        <f t="shared" si="0"/>
        <v>5012</v>
      </c>
      <c r="O8" s="18">
        <f t="shared" si="0"/>
        <v>25697.055919999999</v>
      </c>
      <c r="P8" s="18">
        <f>10478-6</f>
        <v>10472</v>
      </c>
      <c r="Q8" s="18">
        <f>10301.91784-4.84281</f>
        <v>10297.07503</v>
      </c>
      <c r="R8" s="18">
        <v>12351</v>
      </c>
      <c r="S8" s="18">
        <v>4214.1444000000001</v>
      </c>
      <c r="T8" s="18">
        <v>4693</v>
      </c>
      <c r="U8" s="18">
        <v>5437.4390000000003</v>
      </c>
      <c r="V8" s="18">
        <v>2200</v>
      </c>
      <c r="W8" s="18">
        <v>1700.6000000000001</v>
      </c>
      <c r="X8" s="18">
        <f t="shared" si="1"/>
        <v>19244</v>
      </c>
      <c r="Y8" s="18">
        <f t="shared" si="1"/>
        <v>11352.1834</v>
      </c>
      <c r="Z8" s="18">
        <v>2279</v>
      </c>
      <c r="AA8" s="18">
        <v>36353.17583</v>
      </c>
      <c r="AB8" s="18">
        <v>6854</v>
      </c>
      <c r="AC8" s="18">
        <v>12734.693000000001</v>
      </c>
      <c r="AD8" s="18">
        <v>82</v>
      </c>
      <c r="AE8" s="18">
        <v>9.3416199999999989</v>
      </c>
      <c r="AF8" s="18">
        <v>1</v>
      </c>
      <c r="AG8" s="18">
        <v>4.8220000000000001</v>
      </c>
      <c r="AH8" s="18">
        <v>120</v>
      </c>
      <c r="AI8" s="18">
        <v>634.70302000000004</v>
      </c>
      <c r="AJ8" s="18">
        <v>236</v>
      </c>
      <c r="AK8" s="18">
        <v>802.6549399999999</v>
      </c>
      <c r="AL8" s="18">
        <f t="shared" ref="AL8:AM30" si="2">AJ8+AH8+AF8+AD8+AB8+Z8+X8+P8+N8</f>
        <v>44300</v>
      </c>
      <c r="AM8" s="18">
        <f t="shared" si="2"/>
        <v>97885.704760000008</v>
      </c>
    </row>
    <row r="9" spans="1:39" x14ac:dyDescent="0.2">
      <c r="A9" s="14" t="s">
        <v>118</v>
      </c>
      <c r="B9" s="18">
        <v>870</v>
      </c>
      <c r="C9" s="18">
        <v>399.87649000000005</v>
      </c>
      <c r="D9" s="18">
        <v>44</v>
      </c>
      <c r="E9" s="18">
        <v>161.82903000000002</v>
      </c>
      <c r="F9" s="18">
        <v>748</v>
      </c>
      <c r="G9" s="18">
        <v>3816.9648599999996</v>
      </c>
      <c r="H9" s="18">
        <f>391-1</f>
        <v>390</v>
      </c>
      <c r="I9" s="18">
        <f>861.30865-0.61608</f>
        <v>860.69256999999993</v>
      </c>
      <c r="J9" s="18">
        <v>30</v>
      </c>
      <c r="K9" s="18">
        <v>652.07228000000009</v>
      </c>
      <c r="L9" s="18">
        <v>688</v>
      </c>
      <c r="M9" s="18">
        <v>23192.562830000006</v>
      </c>
      <c r="N9" s="18">
        <f t="shared" si="0"/>
        <v>2770</v>
      </c>
      <c r="O9" s="18">
        <f t="shared" si="0"/>
        <v>29083.998060000005</v>
      </c>
      <c r="P9" s="18">
        <v>7512</v>
      </c>
      <c r="Q9" s="18">
        <v>7508.1533899999986</v>
      </c>
      <c r="R9" s="18">
        <v>6794</v>
      </c>
      <c r="S9" s="18">
        <v>2168.819</v>
      </c>
      <c r="T9" s="18">
        <v>2436</v>
      </c>
      <c r="U9" s="18">
        <v>3015.2020000000002</v>
      </c>
      <c r="V9" s="18">
        <v>1405</v>
      </c>
      <c r="W9" s="18">
        <v>1085.02972</v>
      </c>
      <c r="X9" s="18">
        <f t="shared" si="1"/>
        <v>10635</v>
      </c>
      <c r="Y9" s="18">
        <f t="shared" si="1"/>
        <v>6269.0507200000011</v>
      </c>
      <c r="Z9" s="18">
        <v>1591</v>
      </c>
      <c r="AA9" s="18">
        <v>24126.793399999999</v>
      </c>
      <c r="AB9" s="18">
        <v>3108</v>
      </c>
      <c r="AC9" s="18">
        <v>8278.5450000000001</v>
      </c>
      <c r="AD9" s="18">
        <v>18</v>
      </c>
      <c r="AE9" s="18">
        <v>4.5659400000000003</v>
      </c>
      <c r="AF9" s="18">
        <v>2</v>
      </c>
      <c r="AG9" s="18">
        <v>11.387</v>
      </c>
      <c r="AH9" s="18">
        <v>53</v>
      </c>
      <c r="AI9" s="18">
        <v>385.28019999999992</v>
      </c>
      <c r="AJ9" s="18">
        <v>120</v>
      </c>
      <c r="AK9" s="18">
        <v>1372.09628</v>
      </c>
      <c r="AL9" s="18">
        <f t="shared" si="2"/>
        <v>25809</v>
      </c>
      <c r="AM9" s="18">
        <f t="shared" si="2"/>
        <v>77039.869990000007</v>
      </c>
    </row>
    <row r="10" spans="1:39" x14ac:dyDescent="0.2">
      <c r="A10" s="14" t="s">
        <v>119</v>
      </c>
      <c r="B10" s="18">
        <f>2210-6</f>
        <v>2204</v>
      </c>
      <c r="C10" s="18">
        <f>270.516-0.33648</f>
        <v>270.17952000000002</v>
      </c>
      <c r="D10" s="18">
        <v>15</v>
      </c>
      <c r="E10" s="18">
        <v>24.277839999999998</v>
      </c>
      <c r="F10" s="18">
        <v>7616</v>
      </c>
      <c r="G10" s="18">
        <v>6423.390260000001</v>
      </c>
      <c r="H10" s="18">
        <v>695</v>
      </c>
      <c r="I10" s="18">
        <v>1592.50623</v>
      </c>
      <c r="J10" s="18">
        <v>24</v>
      </c>
      <c r="K10" s="18">
        <v>302.06293000000005</v>
      </c>
      <c r="L10" s="18">
        <v>438</v>
      </c>
      <c r="M10" s="18">
        <v>16132.094570000003</v>
      </c>
      <c r="N10" s="18">
        <f t="shared" si="0"/>
        <v>10992</v>
      </c>
      <c r="O10" s="18">
        <f t="shared" si="0"/>
        <v>24744.511350000004</v>
      </c>
      <c r="P10" s="18">
        <v>12041</v>
      </c>
      <c r="Q10" s="18">
        <v>12445.052070000002</v>
      </c>
      <c r="R10" s="18">
        <v>3626</v>
      </c>
      <c r="S10" s="18">
        <v>1151.2930000000001</v>
      </c>
      <c r="T10" s="18">
        <v>1342</v>
      </c>
      <c r="U10" s="18">
        <v>1571.7460000000001</v>
      </c>
      <c r="V10" s="18">
        <v>664</v>
      </c>
      <c r="W10" s="18">
        <v>513.27200000000005</v>
      </c>
      <c r="X10" s="18">
        <f t="shared" si="1"/>
        <v>5632</v>
      </c>
      <c r="Y10" s="18">
        <f t="shared" si="1"/>
        <v>3236.3110000000001</v>
      </c>
      <c r="Z10" s="18">
        <v>1105</v>
      </c>
      <c r="AA10" s="18">
        <v>22458.139929999998</v>
      </c>
      <c r="AB10" s="18">
        <v>2147</v>
      </c>
      <c r="AC10" s="18">
        <v>5100.6280000000006</v>
      </c>
      <c r="AD10" s="18">
        <v>142</v>
      </c>
      <c r="AE10" s="18">
        <v>23.036900000000003</v>
      </c>
      <c r="AF10" s="18"/>
      <c r="AG10" s="18"/>
      <c r="AH10" s="18">
        <v>58</v>
      </c>
      <c r="AI10" s="18">
        <v>639.43826000000001</v>
      </c>
      <c r="AJ10" s="18">
        <f>112-1</f>
        <v>111</v>
      </c>
      <c r="AK10" s="18">
        <f>1044.55726-13.02237</f>
        <v>1031.5348900000001</v>
      </c>
      <c r="AL10" s="18">
        <f t="shared" si="2"/>
        <v>32228</v>
      </c>
      <c r="AM10" s="18">
        <f t="shared" si="2"/>
        <v>69678.652400000006</v>
      </c>
    </row>
    <row r="11" spans="1:39" x14ac:dyDescent="0.2">
      <c r="A11" s="14" t="s">
        <v>120</v>
      </c>
      <c r="B11" s="18">
        <v>306</v>
      </c>
      <c r="C11" s="18">
        <v>129.12657000000002</v>
      </c>
      <c r="D11" s="18">
        <v>14</v>
      </c>
      <c r="E11" s="18">
        <v>29.894590000000001</v>
      </c>
      <c r="F11" s="18">
        <v>379</v>
      </c>
      <c r="G11" s="18">
        <v>1915.8237199999999</v>
      </c>
      <c r="H11" s="18">
        <v>162</v>
      </c>
      <c r="I11" s="18">
        <v>760.45782999999994</v>
      </c>
      <c r="J11" s="18">
        <v>22</v>
      </c>
      <c r="K11" s="18">
        <v>478.42402000000004</v>
      </c>
      <c r="L11" s="18">
        <v>364</v>
      </c>
      <c r="M11" s="18">
        <v>14251.792589999997</v>
      </c>
      <c r="N11" s="18">
        <f t="shared" si="0"/>
        <v>1247</v>
      </c>
      <c r="O11" s="18">
        <f t="shared" si="0"/>
        <v>17565.519319999996</v>
      </c>
      <c r="P11" s="18">
        <v>5554</v>
      </c>
      <c r="Q11" s="18">
        <v>6987.2504399999998</v>
      </c>
      <c r="R11" s="18">
        <f>2186-3</f>
        <v>2183</v>
      </c>
      <c r="S11" s="18">
        <f>768.343-0.699</f>
        <v>767.64400000000001</v>
      </c>
      <c r="T11" s="18">
        <f>800-1</f>
        <v>799</v>
      </c>
      <c r="U11" s="18">
        <f>954.115-1.288</f>
        <v>952.827</v>
      </c>
      <c r="V11" s="18">
        <f>723-1</f>
        <v>722</v>
      </c>
      <c r="W11" s="18">
        <f>558.879-0.773</f>
        <v>558.10599999999999</v>
      </c>
      <c r="X11" s="18">
        <f t="shared" si="1"/>
        <v>3704</v>
      </c>
      <c r="Y11" s="18">
        <f t="shared" si="1"/>
        <v>2278.5770000000002</v>
      </c>
      <c r="Z11" s="18">
        <v>625</v>
      </c>
      <c r="AA11" s="18">
        <v>12855.759880000001</v>
      </c>
      <c r="AB11" s="18">
        <v>579</v>
      </c>
      <c r="AC11" s="18">
        <v>1990.4820000000002</v>
      </c>
      <c r="AD11" s="18"/>
      <c r="AE11" s="18"/>
      <c r="AF11" s="18"/>
      <c r="AG11" s="18"/>
      <c r="AH11" s="18">
        <v>18</v>
      </c>
      <c r="AI11" s="18">
        <v>308.387</v>
      </c>
      <c r="AJ11" s="18">
        <v>89</v>
      </c>
      <c r="AK11" s="18">
        <v>703.44331999999986</v>
      </c>
      <c r="AL11" s="18">
        <f t="shared" si="2"/>
        <v>11816</v>
      </c>
      <c r="AM11" s="18">
        <f t="shared" si="2"/>
        <v>42689.418959999995</v>
      </c>
    </row>
    <row r="12" spans="1:39" x14ac:dyDescent="0.2">
      <c r="A12" s="14" t="s">
        <v>121</v>
      </c>
      <c r="B12" s="18">
        <v>1349</v>
      </c>
      <c r="C12" s="18">
        <v>397.19974000000002</v>
      </c>
      <c r="D12" s="18">
        <v>31</v>
      </c>
      <c r="E12" s="18">
        <v>95.82799</v>
      </c>
      <c r="F12" s="18">
        <v>2091</v>
      </c>
      <c r="G12" s="18">
        <v>4199.1440199999997</v>
      </c>
      <c r="H12" s="18">
        <v>825</v>
      </c>
      <c r="I12" s="18">
        <v>2148.4151000000002</v>
      </c>
      <c r="J12" s="18">
        <v>29</v>
      </c>
      <c r="K12" s="18">
        <v>737.09398999999985</v>
      </c>
      <c r="L12" s="18">
        <v>519</v>
      </c>
      <c r="M12" s="18">
        <v>14383.469800000003</v>
      </c>
      <c r="N12" s="18">
        <f t="shared" si="0"/>
        <v>4844</v>
      </c>
      <c r="O12" s="18">
        <f t="shared" si="0"/>
        <v>21961.15064</v>
      </c>
      <c r="P12" s="18">
        <v>5608</v>
      </c>
      <c r="Q12" s="18">
        <v>5907.8307700000005</v>
      </c>
      <c r="R12" s="18">
        <v>7219</v>
      </c>
      <c r="S12" s="18">
        <v>2101.9220000000005</v>
      </c>
      <c r="T12" s="18">
        <v>2565</v>
      </c>
      <c r="U12" s="18">
        <v>3172.05</v>
      </c>
      <c r="V12" s="18">
        <v>643</v>
      </c>
      <c r="W12" s="18">
        <v>497.03900000000004</v>
      </c>
      <c r="X12" s="18">
        <f t="shared" si="1"/>
        <v>10427</v>
      </c>
      <c r="Y12" s="18">
        <f t="shared" si="1"/>
        <v>5771.0110000000004</v>
      </c>
      <c r="Z12" s="18">
        <v>1276</v>
      </c>
      <c r="AA12" s="18">
        <v>20850.964080000005</v>
      </c>
      <c r="AB12" s="18">
        <v>2926</v>
      </c>
      <c r="AC12" s="18">
        <v>6823.6570000000011</v>
      </c>
      <c r="AD12" s="18">
        <v>32</v>
      </c>
      <c r="AE12" s="18">
        <v>5.5484</v>
      </c>
      <c r="AF12" s="18">
        <v>1</v>
      </c>
      <c r="AG12" s="18">
        <v>1.595</v>
      </c>
      <c r="AH12" s="18">
        <v>46</v>
      </c>
      <c r="AI12" s="18">
        <v>322.90534000000002</v>
      </c>
      <c r="AJ12" s="18">
        <v>141</v>
      </c>
      <c r="AK12" s="18">
        <v>437.21444999999994</v>
      </c>
      <c r="AL12" s="18">
        <f t="shared" si="2"/>
        <v>25301</v>
      </c>
      <c r="AM12" s="18">
        <f t="shared" si="2"/>
        <v>62081.876680000008</v>
      </c>
    </row>
    <row r="13" spans="1:39" x14ac:dyDescent="0.2">
      <c r="A13" s="14" t="s">
        <v>122</v>
      </c>
      <c r="B13" s="18">
        <v>444</v>
      </c>
      <c r="C13" s="18">
        <v>148.23781000000002</v>
      </c>
      <c r="D13" s="18">
        <v>13</v>
      </c>
      <c r="E13" s="18">
        <v>34.323819999999998</v>
      </c>
      <c r="F13" s="18">
        <v>1265</v>
      </c>
      <c r="G13" s="18">
        <v>3062.8798899999997</v>
      </c>
      <c r="H13" s="18">
        <v>268</v>
      </c>
      <c r="I13" s="18">
        <v>1001.16644</v>
      </c>
      <c r="J13" s="18">
        <v>29</v>
      </c>
      <c r="K13" s="18">
        <v>643.32420000000002</v>
      </c>
      <c r="L13" s="18">
        <v>372</v>
      </c>
      <c r="M13" s="18">
        <v>13785.832200000003</v>
      </c>
      <c r="N13" s="18">
        <f t="shared" si="0"/>
        <v>2391</v>
      </c>
      <c r="O13" s="18">
        <f t="shared" si="0"/>
        <v>18675.764360000001</v>
      </c>
      <c r="P13" s="18">
        <f>13442-12</f>
        <v>13430</v>
      </c>
      <c r="Q13" s="18">
        <f>16656.24475-5.08416-5.07272-4.8166</f>
        <v>16641.271270000005</v>
      </c>
      <c r="R13" s="18">
        <f>2243-3</f>
        <v>2240</v>
      </c>
      <c r="S13" s="18">
        <f>731.869-0.699</f>
        <v>731.17000000000007</v>
      </c>
      <c r="T13" s="18">
        <f>772-1</f>
        <v>771</v>
      </c>
      <c r="U13" s="18">
        <f>979.706-1.288</f>
        <v>978.41800000000001</v>
      </c>
      <c r="V13" s="18">
        <f>217-1-1</f>
        <v>215</v>
      </c>
      <c r="W13" s="18">
        <f>167.702-0.773-0.515</f>
        <v>166.41400000000002</v>
      </c>
      <c r="X13" s="18">
        <f t="shared" si="1"/>
        <v>3226</v>
      </c>
      <c r="Y13" s="18">
        <f t="shared" si="1"/>
        <v>1876.0020000000002</v>
      </c>
      <c r="Z13" s="18">
        <v>1064</v>
      </c>
      <c r="AA13" s="18">
        <v>18385.42757</v>
      </c>
      <c r="AB13" s="18">
        <v>1574</v>
      </c>
      <c r="AC13" s="18">
        <v>5672.8530000000001</v>
      </c>
      <c r="AD13" s="18"/>
      <c r="AE13" s="18"/>
      <c r="AF13" s="18"/>
      <c r="AG13" s="18"/>
      <c r="AH13" s="18">
        <v>36</v>
      </c>
      <c r="AI13" s="18">
        <v>388.72933</v>
      </c>
      <c r="AJ13" s="18">
        <v>79</v>
      </c>
      <c r="AK13" s="18">
        <v>661.35563999999999</v>
      </c>
      <c r="AL13" s="18">
        <f t="shared" si="2"/>
        <v>21800</v>
      </c>
      <c r="AM13" s="18">
        <f t="shared" si="2"/>
        <v>62301.403170000005</v>
      </c>
    </row>
    <row r="14" spans="1:39" x14ac:dyDescent="0.2">
      <c r="A14" s="14" t="s">
        <v>123</v>
      </c>
      <c r="B14" s="18">
        <v>1397</v>
      </c>
      <c r="C14" s="18">
        <v>298.93261999999999</v>
      </c>
      <c r="D14" s="18">
        <v>24</v>
      </c>
      <c r="E14" s="18">
        <v>69.010169999999988</v>
      </c>
      <c r="F14" s="18">
        <v>1718</v>
      </c>
      <c r="G14" s="18">
        <v>7649.927920000001</v>
      </c>
      <c r="H14" s="18">
        <v>153</v>
      </c>
      <c r="I14" s="18">
        <v>363.03124000000003</v>
      </c>
      <c r="J14" s="18">
        <v>40</v>
      </c>
      <c r="K14" s="18">
        <v>1169.22667</v>
      </c>
      <c r="L14" s="18">
        <v>485</v>
      </c>
      <c r="M14" s="18">
        <v>17625.005950000002</v>
      </c>
      <c r="N14" s="18">
        <f t="shared" si="0"/>
        <v>3817</v>
      </c>
      <c r="O14" s="18">
        <f t="shared" si="0"/>
        <v>27175.134570000002</v>
      </c>
      <c r="P14" s="18">
        <v>7804</v>
      </c>
      <c r="Q14" s="18">
        <v>8485.242650000002</v>
      </c>
      <c r="R14" s="18">
        <v>5670</v>
      </c>
      <c r="S14" s="18">
        <v>1818.1749</v>
      </c>
      <c r="T14" s="18">
        <v>2051</v>
      </c>
      <c r="U14" s="18">
        <v>2506.8830000000003</v>
      </c>
      <c r="V14" s="18">
        <v>927</v>
      </c>
      <c r="W14" s="18">
        <v>716.38810000000001</v>
      </c>
      <c r="X14" s="18">
        <f t="shared" si="1"/>
        <v>8648</v>
      </c>
      <c r="Y14" s="18">
        <f t="shared" si="1"/>
        <v>5041.4459999999999</v>
      </c>
      <c r="Z14" s="18">
        <v>1200</v>
      </c>
      <c r="AA14" s="18">
        <v>21529.440629999997</v>
      </c>
      <c r="AB14" s="18">
        <v>1394</v>
      </c>
      <c r="AC14" s="18">
        <v>5631.9059999999981</v>
      </c>
      <c r="AD14" s="18"/>
      <c r="AE14" s="18"/>
      <c r="AF14" s="18"/>
      <c r="AG14" s="18"/>
      <c r="AH14" s="18">
        <v>36</v>
      </c>
      <c r="AI14" s="18">
        <v>425.83534000000003</v>
      </c>
      <c r="AJ14" s="18">
        <v>136</v>
      </c>
      <c r="AK14" s="18">
        <v>1427.3096400000002</v>
      </c>
      <c r="AL14" s="18">
        <f t="shared" si="2"/>
        <v>23035</v>
      </c>
      <c r="AM14" s="18">
        <f t="shared" si="2"/>
        <v>69716.314829999988</v>
      </c>
    </row>
    <row r="15" spans="1:39" x14ac:dyDescent="0.2">
      <c r="A15" s="14" t="s">
        <v>124</v>
      </c>
      <c r="B15" s="18">
        <v>300</v>
      </c>
      <c r="C15" s="18">
        <v>137.30065000000002</v>
      </c>
      <c r="D15" s="18">
        <v>3</v>
      </c>
      <c r="E15" s="18">
        <v>7.1738999999999997</v>
      </c>
      <c r="F15" s="18">
        <v>1964</v>
      </c>
      <c r="G15" s="18">
        <v>2429.81799</v>
      </c>
      <c r="H15" s="18">
        <v>1574</v>
      </c>
      <c r="I15" s="18">
        <v>1388.41345</v>
      </c>
      <c r="J15" s="18">
        <v>11</v>
      </c>
      <c r="K15" s="18">
        <v>354.09135000000003</v>
      </c>
      <c r="L15" s="18">
        <v>299</v>
      </c>
      <c r="M15" s="18">
        <v>8638.3960900000002</v>
      </c>
      <c r="N15" s="18">
        <f t="shared" si="0"/>
        <v>4151</v>
      </c>
      <c r="O15" s="18">
        <f t="shared" si="0"/>
        <v>12955.193429999999</v>
      </c>
      <c r="P15" s="18">
        <v>3122</v>
      </c>
      <c r="Q15" s="18">
        <v>2755.9010399999993</v>
      </c>
      <c r="R15" s="18">
        <f>6228-3</f>
        <v>6225</v>
      </c>
      <c r="S15" s="18">
        <f>1492.58084-1.595</f>
        <v>1490.9858400000001</v>
      </c>
      <c r="T15" s="18">
        <f>2121-1</f>
        <v>2120</v>
      </c>
      <c r="U15" s="18">
        <f>2712.87208-1.288</f>
        <v>2711.5840800000001</v>
      </c>
      <c r="V15" s="18">
        <f>1203-1</f>
        <v>1202</v>
      </c>
      <c r="W15" s="18">
        <f>929.1162-0.773</f>
        <v>928.34320000000002</v>
      </c>
      <c r="X15" s="18">
        <f>R15+T15+V15</f>
        <v>9547</v>
      </c>
      <c r="Y15" s="18">
        <f t="shared" si="1"/>
        <v>5130.9131200000002</v>
      </c>
      <c r="Z15" s="18">
        <v>848</v>
      </c>
      <c r="AA15" s="18">
        <v>13742.410749999999</v>
      </c>
      <c r="AB15" s="18">
        <v>1589</v>
      </c>
      <c r="AC15" s="18">
        <v>4296.3450000000003</v>
      </c>
      <c r="AD15" s="18">
        <v>10</v>
      </c>
      <c r="AE15" s="18">
        <v>1.1408499999999999</v>
      </c>
      <c r="AF15" s="18">
        <v>3</v>
      </c>
      <c r="AG15" s="18">
        <v>9.1059999999999999</v>
      </c>
      <c r="AH15" s="18">
        <v>51</v>
      </c>
      <c r="AI15" s="18">
        <v>273.91377</v>
      </c>
      <c r="AJ15" s="18">
        <v>54</v>
      </c>
      <c r="AK15" s="18">
        <v>526.57462999999996</v>
      </c>
      <c r="AL15" s="18">
        <f t="shared" si="2"/>
        <v>19375</v>
      </c>
      <c r="AM15" s="18">
        <f t="shared" si="2"/>
        <v>39691.498590000003</v>
      </c>
    </row>
    <row r="16" spans="1:39" x14ac:dyDescent="0.2">
      <c r="A16" s="14" t="s">
        <v>125</v>
      </c>
      <c r="B16" s="18">
        <v>701</v>
      </c>
      <c r="C16" s="18">
        <v>158.61832999999999</v>
      </c>
      <c r="D16" s="18">
        <v>8</v>
      </c>
      <c r="E16" s="18">
        <v>30.709969999999998</v>
      </c>
      <c r="F16" s="18">
        <v>493</v>
      </c>
      <c r="G16" s="18">
        <v>1366.0472000000002</v>
      </c>
      <c r="H16" s="18">
        <v>199</v>
      </c>
      <c r="I16" s="18">
        <v>391.77948999999995</v>
      </c>
      <c r="J16" s="18">
        <v>18</v>
      </c>
      <c r="K16" s="18">
        <v>234.97771999999998</v>
      </c>
      <c r="L16" s="18">
        <v>280</v>
      </c>
      <c r="M16" s="18">
        <v>8297.6641600000003</v>
      </c>
      <c r="N16" s="18">
        <f t="shared" si="0"/>
        <v>1699</v>
      </c>
      <c r="O16" s="18">
        <f t="shared" si="0"/>
        <v>10479.79687</v>
      </c>
      <c r="P16" s="18">
        <v>3072</v>
      </c>
      <c r="Q16" s="18">
        <v>3387.5174000000002</v>
      </c>
      <c r="R16" s="18">
        <v>2415</v>
      </c>
      <c r="S16" s="18">
        <v>733.81499999999994</v>
      </c>
      <c r="T16" s="18">
        <v>850</v>
      </c>
      <c r="U16" s="18">
        <v>1061.3600000000001</v>
      </c>
      <c r="V16" s="18">
        <v>336</v>
      </c>
      <c r="W16" s="18">
        <v>259.72800000000001</v>
      </c>
      <c r="X16" s="18">
        <f t="shared" si="1"/>
        <v>3601</v>
      </c>
      <c r="Y16" s="18">
        <f t="shared" si="1"/>
        <v>2054.9030000000002</v>
      </c>
      <c r="Z16" s="18">
        <v>498</v>
      </c>
      <c r="AA16" s="18">
        <v>7755.5401999999995</v>
      </c>
      <c r="AB16" s="18">
        <v>1130</v>
      </c>
      <c r="AC16" s="18">
        <v>2360.2400000000011</v>
      </c>
      <c r="AD16" s="18">
        <v>24</v>
      </c>
      <c r="AE16" s="18">
        <v>5.1907299999999994</v>
      </c>
      <c r="AF16" s="18"/>
      <c r="AG16" s="18"/>
      <c r="AH16" s="18">
        <v>16</v>
      </c>
      <c r="AI16" s="18">
        <v>105.16643999999999</v>
      </c>
      <c r="AJ16" s="18">
        <v>43</v>
      </c>
      <c r="AK16" s="18">
        <v>342.34122999999994</v>
      </c>
      <c r="AL16" s="18">
        <f t="shared" si="2"/>
        <v>10083</v>
      </c>
      <c r="AM16" s="18">
        <f t="shared" si="2"/>
        <v>26490.695870000003</v>
      </c>
    </row>
    <row r="17" spans="1:39" x14ac:dyDescent="0.2">
      <c r="A17" s="14" t="s">
        <v>126</v>
      </c>
      <c r="B17" s="18">
        <v>660</v>
      </c>
      <c r="C17" s="18">
        <v>236.07381000000001</v>
      </c>
      <c r="D17" s="18">
        <v>50</v>
      </c>
      <c r="E17" s="18">
        <v>107.51109</v>
      </c>
      <c r="F17" s="18">
        <f>5701</f>
        <v>5701</v>
      </c>
      <c r="G17" s="18">
        <f>7060.61128</f>
        <v>7060.6112800000001</v>
      </c>
      <c r="H17" s="18">
        <v>526</v>
      </c>
      <c r="I17" s="18">
        <v>1547.1556600000001</v>
      </c>
      <c r="J17" s="18">
        <v>24</v>
      </c>
      <c r="K17" s="18">
        <v>718.64721999999995</v>
      </c>
      <c r="L17" s="18">
        <v>493</v>
      </c>
      <c r="M17" s="18">
        <v>17982.86335</v>
      </c>
      <c r="N17" s="18">
        <f t="shared" si="0"/>
        <v>7454</v>
      </c>
      <c r="O17" s="18">
        <f t="shared" si="0"/>
        <v>27652.862410000002</v>
      </c>
      <c r="P17" s="18">
        <v>29064</v>
      </c>
      <c r="Q17" s="18">
        <v>36056.912509999995</v>
      </c>
      <c r="R17" s="18">
        <v>6997</v>
      </c>
      <c r="S17" s="18">
        <v>1948.3610000000001</v>
      </c>
      <c r="T17" s="18">
        <v>2497</v>
      </c>
      <c r="U17" s="18">
        <v>3079.241</v>
      </c>
      <c r="V17" s="18">
        <v>761</v>
      </c>
      <c r="W17" s="18">
        <v>587.94600000000014</v>
      </c>
      <c r="X17" s="18">
        <f t="shared" si="1"/>
        <v>10255</v>
      </c>
      <c r="Y17" s="18">
        <f t="shared" si="1"/>
        <v>5615.5479999999998</v>
      </c>
      <c r="Z17" s="18">
        <v>1353</v>
      </c>
      <c r="AA17" s="18">
        <v>23563.947729999996</v>
      </c>
      <c r="AB17" s="18">
        <v>2963</v>
      </c>
      <c r="AC17" s="18">
        <v>7383.6510600000001</v>
      </c>
      <c r="AD17" s="18">
        <v>260</v>
      </c>
      <c r="AE17" s="18">
        <v>86.354410000000001</v>
      </c>
      <c r="AF17" s="18">
        <v>1</v>
      </c>
      <c r="AG17" s="18">
        <v>4.1080000000000005</v>
      </c>
      <c r="AH17" s="18">
        <v>29</v>
      </c>
      <c r="AI17" s="18">
        <v>269.57370000000003</v>
      </c>
      <c r="AJ17" s="18">
        <v>157</v>
      </c>
      <c r="AK17" s="18">
        <v>1265.9948799999997</v>
      </c>
      <c r="AL17" s="18">
        <f t="shared" si="2"/>
        <v>51536</v>
      </c>
      <c r="AM17" s="18">
        <f t="shared" si="2"/>
        <v>101898.95269999999</v>
      </c>
    </row>
    <row r="18" spans="1:39" x14ac:dyDescent="0.2">
      <c r="A18" s="14" t="s">
        <v>127</v>
      </c>
      <c r="B18" s="18">
        <v>1867</v>
      </c>
      <c r="C18" s="18">
        <v>350.38619</v>
      </c>
      <c r="D18" s="18">
        <v>36</v>
      </c>
      <c r="E18" s="18">
        <v>131.57830000000001</v>
      </c>
      <c r="F18" s="18">
        <v>1229</v>
      </c>
      <c r="G18" s="18">
        <v>4561.0521500000004</v>
      </c>
      <c r="H18" s="18">
        <v>340</v>
      </c>
      <c r="I18" s="18">
        <v>480.50959000000012</v>
      </c>
      <c r="J18" s="18">
        <v>20</v>
      </c>
      <c r="K18" s="18">
        <v>875.11207000000002</v>
      </c>
      <c r="L18" s="18">
        <v>528</v>
      </c>
      <c r="M18" s="18">
        <v>19916.075599999996</v>
      </c>
      <c r="N18" s="18">
        <f t="shared" si="0"/>
        <v>4020</v>
      </c>
      <c r="O18" s="18">
        <f t="shared" si="0"/>
        <v>26314.713899999999</v>
      </c>
      <c r="P18" s="18">
        <v>10285</v>
      </c>
      <c r="Q18" s="18">
        <v>11165.202910000002</v>
      </c>
      <c r="R18" s="18">
        <v>11106</v>
      </c>
      <c r="S18" s="18">
        <v>3583.1270000000004</v>
      </c>
      <c r="T18" s="18">
        <v>4111</v>
      </c>
      <c r="U18" s="18">
        <v>4960.5679999999993</v>
      </c>
      <c r="V18" s="18">
        <v>1560</v>
      </c>
      <c r="W18" s="18">
        <v>1205.6356000000001</v>
      </c>
      <c r="X18" s="18">
        <f t="shared" si="1"/>
        <v>16777</v>
      </c>
      <c r="Y18" s="18">
        <f t="shared" si="1"/>
        <v>9749.3305999999993</v>
      </c>
      <c r="Z18" s="18">
        <v>1139</v>
      </c>
      <c r="AA18" s="18">
        <v>18081.414259999998</v>
      </c>
      <c r="AB18" s="18">
        <v>2235</v>
      </c>
      <c r="AC18" s="18">
        <v>6760.4268400000019</v>
      </c>
      <c r="AD18" s="18"/>
      <c r="AE18" s="18"/>
      <c r="AF18" s="18"/>
      <c r="AG18" s="18"/>
      <c r="AH18" s="18">
        <v>73</v>
      </c>
      <c r="AI18" s="18">
        <v>419.31837000000002</v>
      </c>
      <c r="AJ18" s="18">
        <v>145</v>
      </c>
      <c r="AK18" s="18">
        <v>1259.2186400000001</v>
      </c>
      <c r="AL18" s="18">
        <f t="shared" si="2"/>
        <v>34674</v>
      </c>
      <c r="AM18" s="18">
        <f t="shared" si="2"/>
        <v>73749.625520000001</v>
      </c>
    </row>
    <row r="19" spans="1:39" x14ac:dyDescent="0.2">
      <c r="A19" s="14" t="s">
        <v>128</v>
      </c>
      <c r="B19" s="18">
        <v>2455</v>
      </c>
      <c r="C19" s="18">
        <v>369.18047999999993</v>
      </c>
      <c r="D19" s="18">
        <v>23</v>
      </c>
      <c r="E19" s="18">
        <v>37.670870000000001</v>
      </c>
      <c r="F19" s="18">
        <v>10678</v>
      </c>
      <c r="G19" s="18">
        <v>9587.0826199999992</v>
      </c>
      <c r="H19" s="18">
        <v>1083</v>
      </c>
      <c r="I19" s="18">
        <v>1591.0945199999999</v>
      </c>
      <c r="J19" s="18">
        <v>17</v>
      </c>
      <c r="K19" s="18">
        <v>342.95775999999995</v>
      </c>
      <c r="L19" s="18">
        <v>509</v>
      </c>
      <c r="M19" s="18">
        <v>16172.77449</v>
      </c>
      <c r="N19" s="18">
        <f t="shared" si="0"/>
        <v>14765</v>
      </c>
      <c r="O19" s="18">
        <f t="shared" si="0"/>
        <v>28100.760739999998</v>
      </c>
      <c r="P19" s="18">
        <v>8481</v>
      </c>
      <c r="Q19" s="18">
        <v>7776.0464400000001</v>
      </c>
      <c r="R19" s="18">
        <v>5228</v>
      </c>
      <c r="S19" s="18">
        <v>1609.6135000000002</v>
      </c>
      <c r="T19" s="18">
        <v>1841</v>
      </c>
      <c r="U19" s="18">
        <v>2270.12005</v>
      </c>
      <c r="V19" s="18">
        <v>615</v>
      </c>
      <c r="W19" s="18">
        <v>448.83777000000003</v>
      </c>
      <c r="X19" s="18">
        <f t="shared" si="1"/>
        <v>7684</v>
      </c>
      <c r="Y19" s="18">
        <f t="shared" si="1"/>
        <v>4328.57132</v>
      </c>
      <c r="Z19" s="18">
        <v>1114</v>
      </c>
      <c r="AA19" s="18">
        <v>17600.377099999998</v>
      </c>
      <c r="AB19" s="18">
        <v>3404</v>
      </c>
      <c r="AC19" s="18">
        <v>6271.1090000000004</v>
      </c>
      <c r="AD19" s="18">
        <v>31</v>
      </c>
      <c r="AE19" s="18">
        <v>8.3257300000000001</v>
      </c>
      <c r="AF19" s="18"/>
      <c r="AG19" s="18"/>
      <c r="AH19" s="18">
        <v>114</v>
      </c>
      <c r="AI19" s="18">
        <v>572.21683000000007</v>
      </c>
      <c r="AJ19" s="18">
        <v>122</v>
      </c>
      <c r="AK19" s="18">
        <v>1048.70379</v>
      </c>
      <c r="AL19" s="18">
        <f t="shared" si="2"/>
        <v>35715</v>
      </c>
      <c r="AM19" s="18">
        <f t="shared" si="2"/>
        <v>65706.110950000002</v>
      </c>
    </row>
    <row r="20" spans="1:39" x14ac:dyDescent="0.2">
      <c r="A20" s="14" t="s">
        <v>129</v>
      </c>
      <c r="B20" s="18">
        <v>1726</v>
      </c>
      <c r="C20" s="18">
        <v>477.53079000000002</v>
      </c>
      <c r="D20" s="18">
        <v>47</v>
      </c>
      <c r="E20" s="18">
        <v>116.94992999999999</v>
      </c>
      <c r="F20" s="18">
        <v>15816</v>
      </c>
      <c r="G20" s="18">
        <v>13694.76727</v>
      </c>
      <c r="H20" s="18">
        <v>641</v>
      </c>
      <c r="I20" s="18">
        <v>1904.2483999999999</v>
      </c>
      <c r="J20" s="18">
        <v>25</v>
      </c>
      <c r="K20" s="18">
        <v>638.68264999999997</v>
      </c>
      <c r="L20" s="18">
        <v>860</v>
      </c>
      <c r="M20" s="18">
        <v>30771.992640000004</v>
      </c>
      <c r="N20" s="18">
        <f t="shared" si="0"/>
        <v>19115</v>
      </c>
      <c r="O20" s="18">
        <f t="shared" si="0"/>
        <v>47604.171679999999</v>
      </c>
      <c r="P20" s="18">
        <v>11742</v>
      </c>
      <c r="Q20" s="18">
        <v>18073.095229999999</v>
      </c>
      <c r="R20" s="18">
        <v>4217</v>
      </c>
      <c r="S20" s="18">
        <v>1450.3509999999999</v>
      </c>
      <c r="T20" s="18">
        <v>1583</v>
      </c>
      <c r="U20" s="18">
        <v>1858.1190000000004</v>
      </c>
      <c r="V20" s="18">
        <v>442</v>
      </c>
      <c r="W20" s="18">
        <v>341.666</v>
      </c>
      <c r="X20" s="18">
        <f t="shared" si="1"/>
        <v>6242</v>
      </c>
      <c r="Y20" s="18">
        <f t="shared" si="1"/>
        <v>3650.1360000000004</v>
      </c>
      <c r="Z20" s="18">
        <v>1143</v>
      </c>
      <c r="AA20" s="18">
        <v>22313.626840000001</v>
      </c>
      <c r="AB20" s="18">
        <v>1689</v>
      </c>
      <c r="AC20" s="18">
        <v>5858.7419999999993</v>
      </c>
      <c r="AD20" s="18"/>
      <c r="AE20" s="18"/>
      <c r="AF20" s="18">
        <v>1</v>
      </c>
      <c r="AG20" s="18">
        <v>4.6900000000000004</v>
      </c>
      <c r="AH20" s="18">
        <v>40</v>
      </c>
      <c r="AI20" s="18">
        <v>297.06765000000001</v>
      </c>
      <c r="AJ20" s="18">
        <v>100</v>
      </c>
      <c r="AK20" s="18">
        <v>1362.81816</v>
      </c>
      <c r="AL20" s="18">
        <f t="shared" si="2"/>
        <v>40072</v>
      </c>
      <c r="AM20" s="18">
        <f t="shared" si="2"/>
        <v>99164.347559999995</v>
      </c>
    </row>
    <row r="21" spans="1:39" x14ac:dyDescent="0.2">
      <c r="A21" s="14" t="s">
        <v>130</v>
      </c>
      <c r="B21" s="18">
        <v>488</v>
      </c>
      <c r="C21" s="18">
        <v>297.35162000000003</v>
      </c>
      <c r="D21" s="18">
        <v>51</v>
      </c>
      <c r="E21" s="18">
        <v>193.55281999999997</v>
      </c>
      <c r="F21" s="18">
        <v>3966</v>
      </c>
      <c r="G21" s="18">
        <v>10701.31349</v>
      </c>
      <c r="H21" s="18">
        <v>902</v>
      </c>
      <c r="I21" s="18">
        <v>2374.0620199999998</v>
      </c>
      <c r="J21" s="18">
        <v>22</v>
      </c>
      <c r="K21" s="18">
        <v>630.38842000000011</v>
      </c>
      <c r="L21" s="18">
        <v>468</v>
      </c>
      <c r="M21" s="18">
        <v>13079.171999999999</v>
      </c>
      <c r="N21" s="18">
        <f t="shared" si="0"/>
        <v>5897</v>
      </c>
      <c r="O21" s="18">
        <f t="shared" si="0"/>
        <v>27275.840369999998</v>
      </c>
      <c r="P21" s="18">
        <v>10676</v>
      </c>
      <c r="Q21" s="18">
        <v>8944.1059300000015</v>
      </c>
      <c r="R21" s="18">
        <v>3948</v>
      </c>
      <c r="S21" s="18">
        <v>1259.3139000000001</v>
      </c>
      <c r="T21" s="18">
        <v>1436</v>
      </c>
      <c r="U21" s="18">
        <v>1756.5630000000001</v>
      </c>
      <c r="V21" s="18">
        <v>1035</v>
      </c>
      <c r="W21" s="18">
        <v>800.05500000000006</v>
      </c>
      <c r="X21" s="18">
        <f t="shared" si="1"/>
        <v>6419</v>
      </c>
      <c r="Y21" s="18">
        <f t="shared" si="1"/>
        <v>3815.9319000000005</v>
      </c>
      <c r="Z21" s="18">
        <v>1290</v>
      </c>
      <c r="AA21" s="18">
        <v>22278.0972</v>
      </c>
      <c r="AB21" s="18">
        <v>4167</v>
      </c>
      <c r="AC21" s="18">
        <v>8817.4730000000018</v>
      </c>
      <c r="AD21" s="18">
        <v>145</v>
      </c>
      <c r="AE21" s="18">
        <v>25.950409999999998</v>
      </c>
      <c r="AF21" s="18">
        <v>6</v>
      </c>
      <c r="AG21" s="18">
        <v>31.71725</v>
      </c>
      <c r="AH21" s="18">
        <v>141</v>
      </c>
      <c r="AI21" s="18">
        <v>1239.8101999999999</v>
      </c>
      <c r="AJ21" s="18">
        <v>109</v>
      </c>
      <c r="AK21" s="18">
        <v>724.89305999999999</v>
      </c>
      <c r="AL21" s="18">
        <f t="shared" si="2"/>
        <v>28850</v>
      </c>
      <c r="AM21" s="18">
        <f t="shared" si="2"/>
        <v>73153.81932000001</v>
      </c>
    </row>
    <row r="22" spans="1:39" x14ac:dyDescent="0.2">
      <c r="A22" s="14" t="s">
        <v>131</v>
      </c>
      <c r="B22" s="18">
        <v>217</v>
      </c>
      <c r="C22" s="18">
        <v>96.498370000000008</v>
      </c>
      <c r="D22" s="18">
        <v>5</v>
      </c>
      <c r="E22" s="18">
        <v>11.204750000000001</v>
      </c>
      <c r="F22" s="18">
        <v>318</v>
      </c>
      <c r="G22" s="18">
        <v>719.99186999999995</v>
      </c>
      <c r="H22" s="18">
        <v>104</v>
      </c>
      <c r="I22" s="18">
        <v>395.90516999999988</v>
      </c>
      <c r="J22" s="18">
        <v>10</v>
      </c>
      <c r="K22" s="18">
        <v>227.11178999999998</v>
      </c>
      <c r="L22" s="18">
        <v>267</v>
      </c>
      <c r="M22" s="18">
        <v>7419.4236199999996</v>
      </c>
      <c r="N22" s="18">
        <f t="shared" si="0"/>
        <v>921</v>
      </c>
      <c r="O22" s="18">
        <f t="shared" si="0"/>
        <v>8870.1355699999986</v>
      </c>
      <c r="P22" s="18">
        <v>7874</v>
      </c>
      <c r="Q22" s="18">
        <v>9325.6046800000004</v>
      </c>
      <c r="R22" s="18">
        <v>2349</v>
      </c>
      <c r="S22" s="18">
        <v>750.98699999999997</v>
      </c>
      <c r="T22" s="18">
        <v>876</v>
      </c>
      <c r="U22" s="18">
        <v>1035.2830000000001</v>
      </c>
      <c r="V22" s="18">
        <v>415</v>
      </c>
      <c r="W22" s="18">
        <v>320.79500000000002</v>
      </c>
      <c r="X22" s="18">
        <f t="shared" si="1"/>
        <v>3640</v>
      </c>
      <c r="Y22" s="18">
        <f t="shared" si="1"/>
        <v>2107.0650000000001</v>
      </c>
      <c r="Z22" s="18">
        <v>715</v>
      </c>
      <c r="AA22" s="18">
        <v>12775.277560000002</v>
      </c>
      <c r="AB22" s="18">
        <v>1854</v>
      </c>
      <c r="AC22" s="18">
        <v>4555.5040000000008</v>
      </c>
      <c r="AD22" s="18">
        <v>2</v>
      </c>
      <c r="AE22" s="18">
        <v>0.88564999999999994</v>
      </c>
      <c r="AF22" s="18"/>
      <c r="AG22" s="18"/>
      <c r="AH22" s="18">
        <v>20</v>
      </c>
      <c r="AI22" s="18">
        <v>256.68233999999995</v>
      </c>
      <c r="AJ22" s="18">
        <v>26</v>
      </c>
      <c r="AK22" s="18">
        <v>195.64551000000003</v>
      </c>
      <c r="AL22" s="18">
        <f t="shared" si="2"/>
        <v>15052</v>
      </c>
      <c r="AM22" s="18">
        <f t="shared" si="2"/>
        <v>38086.800309999999</v>
      </c>
    </row>
    <row r="23" spans="1:39" x14ac:dyDescent="0.2">
      <c r="A23" s="14" t="s">
        <v>132</v>
      </c>
      <c r="B23" s="18">
        <v>385</v>
      </c>
      <c r="C23" s="18">
        <v>143.04319000000001</v>
      </c>
      <c r="D23" s="18">
        <v>16</v>
      </c>
      <c r="E23" s="18">
        <v>39.203239999999994</v>
      </c>
      <c r="F23" s="18">
        <v>3120</v>
      </c>
      <c r="G23" s="18">
        <v>3265.4648199999997</v>
      </c>
      <c r="H23" s="18">
        <v>513</v>
      </c>
      <c r="I23" s="18">
        <v>912.80173000000002</v>
      </c>
      <c r="J23" s="18">
        <v>13</v>
      </c>
      <c r="K23" s="18">
        <v>282.89742999999999</v>
      </c>
      <c r="L23" s="18">
        <v>408</v>
      </c>
      <c r="M23" s="18">
        <v>11549.185370000001</v>
      </c>
      <c r="N23" s="18">
        <f t="shared" si="0"/>
        <v>4455</v>
      </c>
      <c r="O23" s="18">
        <f t="shared" si="0"/>
        <v>16192.59578</v>
      </c>
      <c r="P23" s="18">
        <v>11692</v>
      </c>
      <c r="Q23" s="18">
        <v>10571.330700000002</v>
      </c>
      <c r="R23" s="18">
        <v>4022</v>
      </c>
      <c r="S23" s="18">
        <v>1254.2560000000001</v>
      </c>
      <c r="T23" s="18">
        <v>1491</v>
      </c>
      <c r="U23" s="18">
        <v>1772.018</v>
      </c>
      <c r="V23" s="18">
        <v>193</v>
      </c>
      <c r="W23" s="18">
        <v>149.18900000000002</v>
      </c>
      <c r="X23" s="18">
        <f t="shared" si="1"/>
        <v>5706</v>
      </c>
      <c r="Y23" s="18">
        <f t="shared" si="1"/>
        <v>3175.4630000000002</v>
      </c>
      <c r="Z23" s="18">
        <v>932</v>
      </c>
      <c r="AA23" s="18">
        <v>15615.537509999998</v>
      </c>
      <c r="AB23" s="18">
        <v>2852</v>
      </c>
      <c r="AC23" s="18">
        <v>5453.3350000000009</v>
      </c>
      <c r="AD23" s="18">
        <v>72</v>
      </c>
      <c r="AE23" s="18">
        <v>18.290229999999998</v>
      </c>
      <c r="AF23" s="18">
        <v>3</v>
      </c>
      <c r="AG23" s="18">
        <v>21.119</v>
      </c>
      <c r="AH23" s="18">
        <v>47</v>
      </c>
      <c r="AI23" s="18">
        <v>493.85548999999997</v>
      </c>
      <c r="AJ23" s="18">
        <v>28</v>
      </c>
      <c r="AK23" s="18">
        <v>134.03354000000002</v>
      </c>
      <c r="AL23" s="18">
        <f t="shared" si="2"/>
        <v>25787</v>
      </c>
      <c r="AM23" s="18">
        <f t="shared" si="2"/>
        <v>51675.560249999995</v>
      </c>
    </row>
    <row r="24" spans="1:39" x14ac:dyDescent="0.2">
      <c r="A24" s="14" t="s">
        <v>133</v>
      </c>
      <c r="B24" s="18">
        <v>1181</v>
      </c>
      <c r="C24" s="18">
        <v>115.10758000000001</v>
      </c>
      <c r="D24" s="18">
        <v>21</v>
      </c>
      <c r="E24" s="18">
        <v>65.301869999999994</v>
      </c>
      <c r="F24" s="18">
        <v>11099</v>
      </c>
      <c r="G24" s="18">
        <v>9178.7630400000016</v>
      </c>
      <c r="H24" s="18">
        <v>928</v>
      </c>
      <c r="I24" s="18">
        <v>1195.3285799999999</v>
      </c>
      <c r="J24" s="18">
        <v>27</v>
      </c>
      <c r="K24" s="18">
        <v>411.31988999999999</v>
      </c>
      <c r="L24" s="18">
        <v>393</v>
      </c>
      <c r="M24" s="18">
        <v>11299.086540000002</v>
      </c>
      <c r="N24" s="18">
        <f t="shared" si="0"/>
        <v>13649</v>
      </c>
      <c r="O24" s="18">
        <f t="shared" si="0"/>
        <v>22264.907500000001</v>
      </c>
      <c r="P24" s="18">
        <v>19459</v>
      </c>
      <c r="Q24" s="18">
        <v>21171.128110000005</v>
      </c>
      <c r="R24" s="18">
        <v>2065</v>
      </c>
      <c r="S24" s="18">
        <v>654.59</v>
      </c>
      <c r="T24" s="18">
        <v>740</v>
      </c>
      <c r="U24" s="18">
        <v>897.73500000000001</v>
      </c>
      <c r="V24" s="18">
        <v>365</v>
      </c>
      <c r="W24" s="18">
        <v>282.12900000000002</v>
      </c>
      <c r="X24" s="18">
        <f t="shared" si="1"/>
        <v>3170</v>
      </c>
      <c r="Y24" s="18">
        <f t="shared" si="1"/>
        <v>1834.4540000000002</v>
      </c>
      <c r="Z24" s="18">
        <v>655</v>
      </c>
      <c r="AA24" s="18">
        <v>11127.17765</v>
      </c>
      <c r="AB24" s="18">
        <v>2167</v>
      </c>
      <c r="AC24" s="18">
        <v>3668.82</v>
      </c>
      <c r="AD24" s="18">
        <v>148</v>
      </c>
      <c r="AE24" s="18">
        <v>21.35107</v>
      </c>
      <c r="AF24" s="18">
        <v>2</v>
      </c>
      <c r="AG24" s="18">
        <v>9.6460000000000008</v>
      </c>
      <c r="AH24" s="18">
        <v>21</v>
      </c>
      <c r="AI24" s="18">
        <v>63.383359999999996</v>
      </c>
      <c r="AJ24" s="18">
        <v>84</v>
      </c>
      <c r="AK24" s="18">
        <v>615.88968</v>
      </c>
      <c r="AL24" s="18">
        <f t="shared" si="2"/>
        <v>39355</v>
      </c>
      <c r="AM24" s="18">
        <f t="shared" si="2"/>
        <v>60776.757370000007</v>
      </c>
    </row>
    <row r="25" spans="1:39" x14ac:dyDescent="0.2">
      <c r="A25" s="14" t="s">
        <v>134</v>
      </c>
      <c r="B25" s="18">
        <v>3196</v>
      </c>
      <c r="C25" s="18">
        <v>1308.2701499999998</v>
      </c>
      <c r="D25" s="18">
        <v>123</v>
      </c>
      <c r="E25" s="18">
        <v>518.42935999999997</v>
      </c>
      <c r="F25" s="18">
        <v>3844</v>
      </c>
      <c r="G25" s="18">
        <v>11605.439919999999</v>
      </c>
      <c r="H25" s="18">
        <v>2403</v>
      </c>
      <c r="I25" s="18">
        <v>4772.8557600000004</v>
      </c>
      <c r="J25" s="18">
        <v>69</v>
      </c>
      <c r="K25" s="18">
        <v>1835.6144999999999</v>
      </c>
      <c r="L25" s="18">
        <v>1194</v>
      </c>
      <c r="M25" s="18">
        <v>34811.647530000002</v>
      </c>
      <c r="N25" s="18">
        <f t="shared" si="0"/>
        <v>10829</v>
      </c>
      <c r="O25" s="18">
        <f t="shared" si="0"/>
        <v>54852.25722</v>
      </c>
      <c r="P25" s="18">
        <f>18705-4-2</f>
        <v>18699</v>
      </c>
      <c r="Q25" s="18">
        <f>20750.2856-3.22088-1.9477</f>
        <v>20745.117019999998</v>
      </c>
      <c r="R25" s="18">
        <v>10758</v>
      </c>
      <c r="S25" s="18">
        <v>3544.3935000000001</v>
      </c>
      <c r="T25" s="18">
        <v>4006</v>
      </c>
      <c r="U25" s="18">
        <v>4751.1330000000007</v>
      </c>
      <c r="V25" s="18">
        <v>1332</v>
      </c>
      <c r="W25" s="18">
        <v>1029.5605400000002</v>
      </c>
      <c r="X25" s="18">
        <f t="shared" si="1"/>
        <v>16096</v>
      </c>
      <c r="Y25" s="18">
        <f t="shared" si="1"/>
        <v>9325.0870400000003</v>
      </c>
      <c r="Z25" s="18">
        <v>1614</v>
      </c>
      <c r="AA25" s="18">
        <v>25855.188460000005</v>
      </c>
      <c r="AB25" s="18">
        <v>5697</v>
      </c>
      <c r="AC25" s="18">
        <v>9077.1029999999992</v>
      </c>
      <c r="AD25" s="18">
        <f>248-2</f>
        <v>246</v>
      </c>
      <c r="AE25" s="18">
        <f>50.88379-0.36005</f>
        <v>50.523739999999997</v>
      </c>
      <c r="AF25" s="18">
        <v>5</v>
      </c>
      <c r="AG25" s="18">
        <v>26.972009999999997</v>
      </c>
      <c r="AH25" s="18">
        <v>111</v>
      </c>
      <c r="AI25" s="18">
        <v>807.13892999999996</v>
      </c>
      <c r="AJ25" s="18">
        <v>283</v>
      </c>
      <c r="AK25" s="18">
        <v>1819.5484000000001</v>
      </c>
      <c r="AL25" s="18">
        <f t="shared" si="2"/>
        <v>53580</v>
      </c>
      <c r="AM25" s="18">
        <f t="shared" si="2"/>
        <v>122558.93582</v>
      </c>
    </row>
    <row r="26" spans="1:39" x14ac:dyDescent="0.2">
      <c r="A26" s="14" t="s">
        <v>135</v>
      </c>
      <c r="B26" s="18">
        <v>756</v>
      </c>
      <c r="C26" s="18">
        <v>128.66074</v>
      </c>
      <c r="D26" s="18">
        <v>8</v>
      </c>
      <c r="E26" s="18">
        <v>15.8582</v>
      </c>
      <c r="F26" s="18">
        <v>1942</v>
      </c>
      <c r="G26" s="18">
        <v>2747.2466299999996</v>
      </c>
      <c r="H26" s="18">
        <v>245</v>
      </c>
      <c r="I26" s="18">
        <v>483.40675999999996</v>
      </c>
      <c r="J26" s="18">
        <v>12</v>
      </c>
      <c r="K26" s="18">
        <v>182.00712999999999</v>
      </c>
      <c r="L26" s="18">
        <v>374</v>
      </c>
      <c r="M26" s="18">
        <v>12833.026650000003</v>
      </c>
      <c r="N26" s="18">
        <f t="shared" si="0"/>
        <v>3337</v>
      </c>
      <c r="O26" s="18">
        <f t="shared" si="0"/>
        <v>16390.206110000003</v>
      </c>
      <c r="P26" s="18">
        <v>4996</v>
      </c>
      <c r="Q26" s="18">
        <v>6443.6015900000011</v>
      </c>
      <c r="R26" s="18">
        <f>3925-3</f>
        <v>3922</v>
      </c>
      <c r="S26" s="18">
        <f>1301.87-0.699</f>
        <v>1301.1709999999998</v>
      </c>
      <c r="T26" s="18">
        <f>1495-1</f>
        <v>1494</v>
      </c>
      <c r="U26" s="18">
        <f>1708.2-1.288</f>
        <v>1706.912</v>
      </c>
      <c r="V26" s="18">
        <f>749-1</f>
        <v>748</v>
      </c>
      <c r="W26" s="18">
        <f>578.977-0.773</f>
        <v>578.20399999999995</v>
      </c>
      <c r="X26" s="18">
        <f t="shared" si="1"/>
        <v>6164</v>
      </c>
      <c r="Y26" s="18">
        <f t="shared" si="1"/>
        <v>3586.2869999999994</v>
      </c>
      <c r="Z26" s="18">
        <v>990</v>
      </c>
      <c r="AA26" s="18">
        <v>16078.76095</v>
      </c>
      <c r="AB26" s="18">
        <v>1598</v>
      </c>
      <c r="AC26" s="18">
        <v>4473.0710000000008</v>
      </c>
      <c r="AD26" s="18"/>
      <c r="AE26" s="18"/>
      <c r="AF26" s="18">
        <v>1</v>
      </c>
      <c r="AG26" s="18">
        <v>4.8050000000000006</v>
      </c>
      <c r="AH26" s="18">
        <v>30</v>
      </c>
      <c r="AI26" s="18">
        <v>315.19220000000001</v>
      </c>
      <c r="AJ26" s="18">
        <v>31</v>
      </c>
      <c r="AK26" s="18">
        <v>319.87594000000007</v>
      </c>
      <c r="AL26" s="18">
        <f t="shared" si="2"/>
        <v>17147</v>
      </c>
      <c r="AM26" s="18">
        <f t="shared" si="2"/>
        <v>47611.799790000005</v>
      </c>
    </row>
    <row r="27" spans="1:39" x14ac:dyDescent="0.2">
      <c r="A27" s="14" t="s">
        <v>136</v>
      </c>
      <c r="B27" s="18">
        <f>794-6</f>
        <v>788</v>
      </c>
      <c r="C27" s="18">
        <f>300.02718-0.7616</f>
        <v>299.26558</v>
      </c>
      <c r="D27" s="18">
        <v>20</v>
      </c>
      <c r="E27" s="18">
        <v>41.635329999999996</v>
      </c>
      <c r="F27" s="18">
        <v>8881</v>
      </c>
      <c r="G27" s="18">
        <v>10067.550770000002</v>
      </c>
      <c r="H27" s="18">
        <v>707</v>
      </c>
      <c r="I27" s="18">
        <v>968.15072999999984</v>
      </c>
      <c r="J27" s="18">
        <v>36</v>
      </c>
      <c r="K27" s="18">
        <v>678.11862999999994</v>
      </c>
      <c r="L27" s="18">
        <v>1052</v>
      </c>
      <c r="M27" s="18">
        <v>25961.161610000003</v>
      </c>
      <c r="N27" s="18">
        <f t="shared" si="0"/>
        <v>11484</v>
      </c>
      <c r="O27" s="18">
        <f t="shared" si="0"/>
        <v>38015.88265</v>
      </c>
      <c r="P27" s="18">
        <v>20166</v>
      </c>
      <c r="Q27" s="18">
        <f>22026.0394-8.74452</f>
        <v>22017.294880000001</v>
      </c>
      <c r="R27" s="18">
        <f>4004-3</f>
        <v>4001</v>
      </c>
      <c r="S27" s="18">
        <f>1256.107-0.699</f>
        <v>1255.4079999999999</v>
      </c>
      <c r="T27" s="18">
        <f>1549-2</f>
        <v>1547</v>
      </c>
      <c r="U27" s="18">
        <f>1744.312-2.576</f>
        <v>1741.7359999999999</v>
      </c>
      <c r="V27" s="18">
        <f>862-2</f>
        <v>860</v>
      </c>
      <c r="W27" s="18">
        <f>666.326-1.546</f>
        <v>664.78</v>
      </c>
      <c r="X27" s="18">
        <f t="shared" si="1"/>
        <v>6408</v>
      </c>
      <c r="Y27" s="18">
        <f t="shared" si="1"/>
        <v>3661.924</v>
      </c>
      <c r="Z27" s="18">
        <v>1142</v>
      </c>
      <c r="AA27" s="18">
        <v>22907.460420000003</v>
      </c>
      <c r="AB27" s="18">
        <v>2729</v>
      </c>
      <c r="AC27" s="18">
        <v>7031.1078599999992</v>
      </c>
      <c r="AD27" s="18">
        <v>48</v>
      </c>
      <c r="AE27" s="18">
        <v>11.642019999999999</v>
      </c>
      <c r="AF27" s="18">
        <v>1</v>
      </c>
      <c r="AG27" s="18">
        <v>3.4050000000000002</v>
      </c>
      <c r="AH27" s="18">
        <v>69</v>
      </c>
      <c r="AI27" s="18">
        <v>534.19349999999997</v>
      </c>
      <c r="AJ27" s="18">
        <v>200</v>
      </c>
      <c r="AK27" s="18">
        <v>1734.29827</v>
      </c>
      <c r="AL27" s="18">
        <f t="shared" si="2"/>
        <v>42247</v>
      </c>
      <c r="AM27" s="18">
        <f t="shared" si="2"/>
        <v>95917.208600000013</v>
      </c>
    </row>
    <row r="28" spans="1:39" x14ac:dyDescent="0.2">
      <c r="A28" s="14" t="s">
        <v>137</v>
      </c>
      <c r="B28" s="18">
        <v>1059</v>
      </c>
      <c r="C28" s="18">
        <v>90.408000000000001</v>
      </c>
      <c r="D28" s="18">
        <v>25</v>
      </c>
      <c r="E28" s="18">
        <v>110.79519000000001</v>
      </c>
      <c r="F28" s="18">
        <v>2781</v>
      </c>
      <c r="G28" s="18">
        <v>4294.1241399999999</v>
      </c>
      <c r="H28" s="18">
        <v>183</v>
      </c>
      <c r="I28" s="18">
        <v>528.47607999999991</v>
      </c>
      <c r="J28" s="18">
        <v>10</v>
      </c>
      <c r="K28" s="18">
        <v>253.56985999999998</v>
      </c>
      <c r="L28" s="18">
        <v>324</v>
      </c>
      <c r="M28" s="18">
        <v>12471.013710000001</v>
      </c>
      <c r="N28" s="18">
        <f t="shared" si="0"/>
        <v>4382</v>
      </c>
      <c r="O28" s="18">
        <f t="shared" si="0"/>
        <v>17748.386980000003</v>
      </c>
      <c r="P28" s="18">
        <v>5182</v>
      </c>
      <c r="Q28" s="18">
        <v>4973.0435099999995</v>
      </c>
      <c r="R28" s="18">
        <v>3798</v>
      </c>
      <c r="S28" s="18">
        <v>1235.5440000000001</v>
      </c>
      <c r="T28" s="18">
        <v>1486</v>
      </c>
      <c r="U28" s="18">
        <v>1657.943</v>
      </c>
      <c r="V28" s="18">
        <v>509</v>
      </c>
      <c r="W28" s="18">
        <v>393.45699999999999</v>
      </c>
      <c r="X28" s="18">
        <f t="shared" si="1"/>
        <v>5793</v>
      </c>
      <c r="Y28" s="18">
        <f t="shared" si="1"/>
        <v>3286.944</v>
      </c>
      <c r="Z28" s="18">
        <v>814</v>
      </c>
      <c r="AA28" s="18">
        <v>15085.248999999998</v>
      </c>
      <c r="AB28" s="18">
        <v>1955</v>
      </c>
      <c r="AC28" s="18">
        <v>5333.2850000000017</v>
      </c>
      <c r="AD28" s="18"/>
      <c r="AE28" s="18"/>
      <c r="AF28" s="18">
        <v>1</v>
      </c>
      <c r="AG28" s="18">
        <v>4.3580000000000005</v>
      </c>
      <c r="AH28" s="18">
        <v>57</v>
      </c>
      <c r="AI28" s="18">
        <v>555.23860999999999</v>
      </c>
      <c r="AJ28" s="18">
        <v>21</v>
      </c>
      <c r="AK28" s="18">
        <v>145.57843</v>
      </c>
      <c r="AL28" s="18">
        <f t="shared" si="2"/>
        <v>18205</v>
      </c>
      <c r="AM28" s="18">
        <f t="shared" si="2"/>
        <v>47132.083530000004</v>
      </c>
    </row>
    <row r="29" spans="1:39" x14ac:dyDescent="0.2">
      <c r="A29" s="14" t="s">
        <v>138</v>
      </c>
      <c r="B29" s="18">
        <v>241</v>
      </c>
      <c r="C29" s="18">
        <v>129.90063999999998</v>
      </c>
      <c r="D29" s="18">
        <v>56</v>
      </c>
      <c r="E29" s="18">
        <v>173.41209000000001</v>
      </c>
      <c r="F29" s="18">
        <v>909</v>
      </c>
      <c r="G29" s="18">
        <v>3207.66077</v>
      </c>
      <c r="H29" s="18">
        <v>395</v>
      </c>
      <c r="I29" s="18">
        <v>779.89050000000009</v>
      </c>
      <c r="J29" s="18">
        <v>9</v>
      </c>
      <c r="K29" s="18">
        <v>358.24340999999998</v>
      </c>
      <c r="L29" s="18">
        <v>261</v>
      </c>
      <c r="M29" s="18">
        <v>9071.5654100000011</v>
      </c>
      <c r="N29" s="18">
        <f t="shared" si="0"/>
        <v>1871</v>
      </c>
      <c r="O29" s="18">
        <f t="shared" si="0"/>
        <v>13720.672820000002</v>
      </c>
      <c r="P29" s="18">
        <v>5246</v>
      </c>
      <c r="Q29" s="18">
        <v>5997.1978600000002</v>
      </c>
      <c r="R29" s="18">
        <v>1847</v>
      </c>
      <c r="S29" s="18">
        <v>584.73099999999999</v>
      </c>
      <c r="T29" s="18">
        <v>660</v>
      </c>
      <c r="U29" s="18">
        <v>810.37</v>
      </c>
      <c r="V29" s="18">
        <v>183</v>
      </c>
      <c r="W29" s="18">
        <v>141.459</v>
      </c>
      <c r="X29" s="18">
        <f t="shared" si="1"/>
        <v>2690</v>
      </c>
      <c r="Y29" s="18">
        <f t="shared" si="1"/>
        <v>1536.5600000000002</v>
      </c>
      <c r="Z29" s="18">
        <v>615</v>
      </c>
      <c r="AA29" s="18">
        <v>10675.95319</v>
      </c>
      <c r="AB29" s="18">
        <v>842</v>
      </c>
      <c r="AC29" s="18">
        <v>2882.5901199999998</v>
      </c>
      <c r="AD29" s="18">
        <v>2</v>
      </c>
      <c r="AE29" s="18">
        <v>1.05958</v>
      </c>
      <c r="AF29" s="18">
        <v>1</v>
      </c>
      <c r="AG29" s="18">
        <v>5.9350000000000005</v>
      </c>
      <c r="AH29" s="18">
        <v>15</v>
      </c>
      <c r="AI29" s="18">
        <v>106.92015000000001</v>
      </c>
      <c r="AJ29" s="18">
        <v>44</v>
      </c>
      <c r="AK29" s="18">
        <v>247.89442999999997</v>
      </c>
      <c r="AL29" s="18">
        <f t="shared" si="2"/>
        <v>11326</v>
      </c>
      <c r="AM29" s="18">
        <f t="shared" si="2"/>
        <v>35174.783150000003</v>
      </c>
    </row>
    <row r="30" spans="1:39" x14ac:dyDescent="0.2">
      <c r="A30" s="14" t="s">
        <v>139</v>
      </c>
      <c r="B30" s="18">
        <v>983</v>
      </c>
      <c r="C30" s="18">
        <v>118.00682</v>
      </c>
      <c r="D30" s="18">
        <v>3</v>
      </c>
      <c r="E30" s="18">
        <v>5.4378499999999992</v>
      </c>
      <c r="F30" s="18">
        <v>4746</v>
      </c>
      <c r="G30" s="18">
        <v>3750.9067500000001</v>
      </c>
      <c r="H30" s="18">
        <v>83</v>
      </c>
      <c r="I30" s="18">
        <v>214.25461999999996</v>
      </c>
      <c r="J30" s="18">
        <v>13</v>
      </c>
      <c r="K30" s="18">
        <v>269.88722000000001</v>
      </c>
      <c r="L30" s="18">
        <v>360</v>
      </c>
      <c r="M30" s="18">
        <v>12073.17734</v>
      </c>
      <c r="N30" s="18">
        <f t="shared" si="0"/>
        <v>6188</v>
      </c>
      <c r="O30" s="18">
        <f t="shared" si="0"/>
        <v>16431.670600000001</v>
      </c>
      <c r="P30" s="18">
        <v>5782</v>
      </c>
      <c r="Q30" s="18">
        <v>6120.8953499999998</v>
      </c>
      <c r="R30" s="18">
        <v>4205</v>
      </c>
      <c r="S30" s="18">
        <v>1443.3700000000001</v>
      </c>
      <c r="T30" s="18">
        <v>1599</v>
      </c>
      <c r="U30" s="18">
        <v>1845.287</v>
      </c>
      <c r="V30" s="18">
        <v>1154</v>
      </c>
      <c r="W30" s="18">
        <v>892.04200000000003</v>
      </c>
      <c r="X30" s="18">
        <f t="shared" si="1"/>
        <v>6958</v>
      </c>
      <c r="Y30" s="18">
        <f t="shared" si="1"/>
        <v>4180.6990000000005</v>
      </c>
      <c r="Z30" s="18">
        <v>736</v>
      </c>
      <c r="AA30" s="18">
        <v>13015.18727</v>
      </c>
      <c r="AB30" s="18">
        <v>1751</v>
      </c>
      <c r="AC30" s="18">
        <v>3495.5089999999996</v>
      </c>
      <c r="AD30" s="18"/>
      <c r="AE30" s="18"/>
      <c r="AF30" s="18">
        <v>2</v>
      </c>
      <c r="AG30" s="18">
        <v>3.258</v>
      </c>
      <c r="AH30" s="18">
        <v>124</v>
      </c>
      <c r="AI30" s="18">
        <v>989.83725000000004</v>
      </c>
      <c r="AJ30" s="18">
        <v>41</v>
      </c>
      <c r="AK30" s="18">
        <v>341.10617999999999</v>
      </c>
      <c r="AL30" s="18">
        <f t="shared" si="2"/>
        <v>21582</v>
      </c>
      <c r="AM30" s="18">
        <f t="shared" si="2"/>
        <v>44578.162649999998</v>
      </c>
    </row>
    <row r="31" spans="1:39" s="23" customFormat="1" x14ac:dyDescent="0.2">
      <c r="A31" s="18" t="s">
        <v>108</v>
      </c>
      <c r="B31" s="18">
        <f t="shared" ref="B31:O31" si="3">SUM(B6:B30)</f>
        <v>25937</v>
      </c>
      <c r="C31" s="18">
        <f t="shared" si="3"/>
        <v>7237.4443500000016</v>
      </c>
      <c r="D31" s="18">
        <f t="shared" si="3"/>
        <v>743</v>
      </c>
      <c r="E31" s="18">
        <f t="shared" si="3"/>
        <v>2345.0030599999991</v>
      </c>
      <c r="F31" s="18">
        <f t="shared" si="3"/>
        <v>99470</v>
      </c>
      <c r="G31" s="18">
        <f t="shared" si="3"/>
        <v>139214.01179999998</v>
      </c>
      <c r="H31" s="18">
        <f t="shared" si="3"/>
        <v>15831</v>
      </c>
      <c r="I31" s="18">
        <f t="shared" si="3"/>
        <v>30427.566670000004</v>
      </c>
      <c r="J31" s="18">
        <f t="shared" si="3"/>
        <v>614</v>
      </c>
      <c r="K31" s="18">
        <f t="shared" si="3"/>
        <v>14560.822</v>
      </c>
      <c r="L31" s="18">
        <f t="shared" si="3"/>
        <v>12615</v>
      </c>
      <c r="M31" s="18">
        <f t="shared" si="3"/>
        <v>395613.43420000008</v>
      </c>
      <c r="N31" s="18">
        <f t="shared" si="3"/>
        <v>155210</v>
      </c>
      <c r="O31" s="18">
        <f t="shared" si="3"/>
        <v>589398.28207999992</v>
      </c>
      <c r="P31" s="18">
        <f>SUM(P6:P30)</f>
        <v>258654</v>
      </c>
      <c r="Q31" s="18">
        <f>SUM(Q6:Q30)</f>
        <v>285018.84117999993</v>
      </c>
      <c r="R31" s="18">
        <f t="shared" ref="R31:AM31" si="4">SUM(R6:R30)</f>
        <v>124553</v>
      </c>
      <c r="S31" s="18">
        <f t="shared" si="4"/>
        <v>39377.916040000011</v>
      </c>
      <c r="T31" s="18">
        <f t="shared" si="4"/>
        <v>45694</v>
      </c>
      <c r="U31" s="18">
        <f t="shared" si="4"/>
        <v>54812.867129999999</v>
      </c>
      <c r="V31" s="18">
        <f t="shared" si="4"/>
        <v>19495</v>
      </c>
      <c r="W31" s="18">
        <f t="shared" si="4"/>
        <v>15040.626150000002</v>
      </c>
      <c r="X31" s="18">
        <f t="shared" si="4"/>
        <v>189742</v>
      </c>
      <c r="Y31" s="18">
        <f t="shared" si="4"/>
        <v>109231.40932000001</v>
      </c>
      <c r="Z31" s="18">
        <f t="shared" si="4"/>
        <v>26857</v>
      </c>
      <c r="AA31" s="18">
        <f t="shared" si="4"/>
        <v>462041.52734000003</v>
      </c>
      <c r="AB31" s="18">
        <f t="shared" si="4"/>
        <v>61797</v>
      </c>
      <c r="AC31" s="18">
        <f t="shared" si="4"/>
        <v>147440.99388000002</v>
      </c>
      <c r="AD31" s="18">
        <f t="shared" si="4"/>
        <v>1734</v>
      </c>
      <c r="AE31" s="18">
        <f t="shared" si="4"/>
        <v>350.15699999999993</v>
      </c>
      <c r="AF31" s="18">
        <f t="shared" si="4"/>
        <v>31</v>
      </c>
      <c r="AG31" s="18">
        <f t="shared" si="4"/>
        <v>146.92326000000003</v>
      </c>
      <c r="AH31" s="18">
        <f t="shared" si="4"/>
        <v>1436</v>
      </c>
      <c r="AI31" s="18">
        <f t="shared" si="4"/>
        <v>11266.06323</v>
      </c>
      <c r="AJ31" s="18">
        <f t="shared" si="4"/>
        <v>2633</v>
      </c>
      <c r="AK31" s="18">
        <f t="shared" si="4"/>
        <v>20309.250050000002</v>
      </c>
      <c r="AL31" s="18">
        <f t="shared" si="4"/>
        <v>698094</v>
      </c>
      <c r="AM31" s="18">
        <f t="shared" si="4"/>
        <v>1625203.4473400004</v>
      </c>
    </row>
    <row r="32" spans="1:39" x14ac:dyDescent="0.2">
      <c r="AM32" s="31"/>
    </row>
    <row r="33" spans="28:39" ht="18" x14ac:dyDescent="0.25">
      <c r="AB33" s="21"/>
      <c r="AC33" s="2"/>
      <c r="AD33" s="2"/>
      <c r="AE33" s="2"/>
      <c r="AF33" s="2"/>
      <c r="AG33" s="2"/>
      <c r="AH33" s="2"/>
      <c r="AI33" s="21"/>
      <c r="AJ33" s="2"/>
      <c r="AM33" s="32"/>
    </row>
    <row r="34" spans="28:39" x14ac:dyDescent="0.2">
      <c r="AB34" s="2"/>
      <c r="AC34" s="2"/>
      <c r="AD34" s="2"/>
      <c r="AE34" s="2"/>
      <c r="AF34" s="2"/>
      <c r="AG34" s="2"/>
      <c r="AH34" s="2"/>
      <c r="AI34" s="2"/>
      <c r="AJ34" s="2"/>
    </row>
    <row r="35" spans="28:39" ht="18" x14ac:dyDescent="0.25">
      <c r="AB35" s="21" t="s">
        <v>109</v>
      </c>
    </row>
    <row r="36" spans="28:39" ht="18" x14ac:dyDescent="0.25">
      <c r="AB36" s="21" t="s">
        <v>110</v>
      </c>
      <c r="AC36" s="2"/>
      <c r="AD36" s="2"/>
      <c r="AE36" s="2"/>
      <c r="AF36" s="2"/>
      <c r="AG36" s="2"/>
      <c r="AH36" s="2"/>
      <c r="AI36" s="21" t="s">
        <v>111</v>
      </c>
      <c r="AJ36" s="2"/>
    </row>
  </sheetData>
  <mergeCells count="23">
    <mergeCell ref="B1:S1"/>
    <mergeCell ref="A3:A5"/>
    <mergeCell ref="B3:M3"/>
    <mergeCell ref="N3:O4"/>
    <mergeCell ref="P3:Q4"/>
    <mergeCell ref="R3:W3"/>
    <mergeCell ref="V4:W4"/>
    <mergeCell ref="AJ3:AK4"/>
    <mergeCell ref="AL3:AM4"/>
    <mergeCell ref="B4:C4"/>
    <mergeCell ref="D4:E4"/>
    <mergeCell ref="F4:G4"/>
    <mergeCell ref="H4:I4"/>
    <mergeCell ref="J4:K4"/>
    <mergeCell ref="L4:M4"/>
    <mergeCell ref="R4:S4"/>
    <mergeCell ref="T4:U4"/>
    <mergeCell ref="X3:Y4"/>
    <mergeCell ref="Z3:AA4"/>
    <mergeCell ref="AB3:AC4"/>
    <mergeCell ref="AD3:AE4"/>
    <mergeCell ref="AF3:AG4"/>
    <mergeCell ref="AH3:AI4"/>
  </mergeCells>
  <pageMargins left="0.7" right="0.7" top="0.75" bottom="0.75" header="0.3" footer="0.3"/>
  <pageSetup paperSize="9" scale="87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98"/>
  <sheetViews>
    <sheetView view="pageBreakPreview" zoomScale="70" zoomScaleNormal="70" zoomScaleSheetLayoutView="7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D99" sqref="D99"/>
    </sheetView>
  </sheetViews>
  <sheetFormatPr defaultRowHeight="12.75" x14ac:dyDescent="0.2"/>
  <cols>
    <col min="1" max="1" width="41.5703125" style="22" customWidth="1"/>
    <col min="2" max="4" width="9.140625" style="3"/>
    <col min="5" max="5" width="13.28515625" style="3" customWidth="1"/>
    <col min="6" max="6" width="9.140625" style="3"/>
    <col min="7" max="7" width="13" style="3" customWidth="1"/>
    <col min="8" max="21" width="9.140625" style="3"/>
    <col min="22" max="22" width="10.85546875" style="3" customWidth="1"/>
    <col min="23" max="23" width="15.5703125" style="3" customWidth="1"/>
    <col min="24" max="24" width="9.140625" style="3"/>
    <col min="25" max="25" width="10.42578125" style="3" customWidth="1"/>
    <col min="26" max="26" width="9.140625" style="3"/>
    <col min="27" max="27" width="11.85546875" style="3" customWidth="1"/>
    <col min="28" max="28" width="9.140625" style="3"/>
    <col min="29" max="29" width="11.140625" style="3" customWidth="1"/>
    <col min="30" max="38" width="9.140625" style="3"/>
    <col min="39" max="39" width="12.5703125" style="3" customWidth="1"/>
    <col min="40" max="16384" width="9.140625" style="3"/>
  </cols>
  <sheetData>
    <row r="1" spans="1:39" ht="16.5" customHeight="1" x14ac:dyDescent="0.2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6.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3.5" x14ac:dyDescent="0.2">
      <c r="A4" s="45" t="s">
        <v>1</v>
      </c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 t="s">
        <v>3</v>
      </c>
      <c r="O4" s="49"/>
      <c r="P4" s="33" t="s">
        <v>4</v>
      </c>
      <c r="Q4" s="33"/>
      <c r="R4" s="33" t="s">
        <v>2</v>
      </c>
      <c r="S4" s="33"/>
      <c r="T4" s="33"/>
      <c r="U4" s="33"/>
      <c r="V4" s="33"/>
      <c r="W4" s="33"/>
      <c r="X4" s="36" t="s">
        <v>5</v>
      </c>
      <c r="Y4" s="36"/>
      <c r="Z4" s="37" t="s">
        <v>6</v>
      </c>
      <c r="AA4" s="37"/>
      <c r="AB4" s="37" t="s">
        <v>7</v>
      </c>
      <c r="AC4" s="37"/>
      <c r="AD4" s="33" t="s">
        <v>8</v>
      </c>
      <c r="AE4" s="33"/>
      <c r="AF4" s="38" t="s">
        <v>9</v>
      </c>
      <c r="AG4" s="38"/>
      <c r="AH4" s="33" t="s">
        <v>10</v>
      </c>
      <c r="AI4" s="33"/>
      <c r="AJ4" s="33" t="s">
        <v>11</v>
      </c>
      <c r="AK4" s="33"/>
      <c r="AL4" s="34" t="s">
        <v>12</v>
      </c>
      <c r="AM4" s="34"/>
    </row>
    <row r="5" spans="1:39" ht="69.75" customHeight="1" x14ac:dyDescent="0.2">
      <c r="A5" s="46"/>
      <c r="B5" s="43" t="s">
        <v>13</v>
      </c>
      <c r="C5" s="43"/>
      <c r="D5" s="43" t="s">
        <v>14</v>
      </c>
      <c r="E5" s="43"/>
      <c r="F5" s="43" t="s">
        <v>15</v>
      </c>
      <c r="G5" s="43"/>
      <c r="H5" s="43" t="s">
        <v>16</v>
      </c>
      <c r="I5" s="43"/>
      <c r="J5" s="43" t="s">
        <v>17</v>
      </c>
      <c r="K5" s="43"/>
      <c r="L5" s="43" t="s">
        <v>18</v>
      </c>
      <c r="M5" s="43"/>
      <c r="N5" s="49"/>
      <c r="O5" s="49"/>
      <c r="P5" s="33"/>
      <c r="Q5" s="33"/>
      <c r="R5" s="35" t="s">
        <v>13</v>
      </c>
      <c r="S5" s="35"/>
      <c r="T5" s="35" t="s">
        <v>19</v>
      </c>
      <c r="U5" s="35"/>
      <c r="V5" s="35" t="s">
        <v>14</v>
      </c>
      <c r="W5" s="35"/>
      <c r="X5" s="36"/>
      <c r="Y5" s="36"/>
      <c r="Z5" s="37"/>
      <c r="AA5" s="37"/>
      <c r="AB5" s="37"/>
      <c r="AC5" s="37"/>
      <c r="AD5" s="33"/>
      <c r="AE5" s="33"/>
      <c r="AF5" s="38"/>
      <c r="AG5" s="38"/>
      <c r="AH5" s="33"/>
      <c r="AI5" s="33"/>
      <c r="AJ5" s="33"/>
      <c r="AK5" s="33"/>
      <c r="AL5" s="34"/>
      <c r="AM5" s="34"/>
    </row>
    <row r="6" spans="1:39" ht="51" customHeight="1" x14ac:dyDescent="0.25">
      <c r="A6" s="47"/>
      <c r="B6" s="6" t="s">
        <v>20</v>
      </c>
      <c r="C6" s="7" t="s">
        <v>21</v>
      </c>
      <c r="D6" s="6" t="s">
        <v>20</v>
      </c>
      <c r="E6" s="7" t="s">
        <v>21</v>
      </c>
      <c r="F6" s="6" t="s">
        <v>20</v>
      </c>
      <c r="G6" s="7" t="s">
        <v>21</v>
      </c>
      <c r="H6" s="6" t="s">
        <v>20</v>
      </c>
      <c r="I6" s="7" t="s">
        <v>21</v>
      </c>
      <c r="J6" s="6" t="s">
        <v>20</v>
      </c>
      <c r="K6" s="7" t="s">
        <v>21</v>
      </c>
      <c r="L6" s="6" t="s">
        <v>20</v>
      </c>
      <c r="M6" s="7" t="s">
        <v>21</v>
      </c>
      <c r="N6" s="8" t="s">
        <v>20</v>
      </c>
      <c r="O6" s="9" t="s">
        <v>21</v>
      </c>
      <c r="P6" s="6" t="s">
        <v>20</v>
      </c>
      <c r="Q6" s="7" t="s">
        <v>21</v>
      </c>
      <c r="R6" s="6" t="s">
        <v>20</v>
      </c>
      <c r="S6" s="7" t="s">
        <v>21</v>
      </c>
      <c r="T6" s="6" t="s">
        <v>20</v>
      </c>
      <c r="U6" s="7" t="s">
        <v>21</v>
      </c>
      <c r="V6" s="6" t="s">
        <v>20</v>
      </c>
      <c r="W6" s="7" t="s">
        <v>21</v>
      </c>
      <c r="X6" s="6" t="s">
        <v>20</v>
      </c>
      <c r="Y6" s="7" t="s">
        <v>21</v>
      </c>
      <c r="Z6" s="10" t="s">
        <v>20</v>
      </c>
      <c r="AA6" s="11" t="s">
        <v>21</v>
      </c>
      <c r="AB6" s="10" t="s">
        <v>20</v>
      </c>
      <c r="AC6" s="11" t="s">
        <v>21</v>
      </c>
      <c r="AD6" s="6" t="s">
        <v>20</v>
      </c>
      <c r="AE6" s="7" t="s">
        <v>21</v>
      </c>
      <c r="AF6" s="6" t="s">
        <v>20</v>
      </c>
      <c r="AG6" s="7" t="s">
        <v>21</v>
      </c>
      <c r="AH6" s="6" t="s">
        <v>20</v>
      </c>
      <c r="AI6" s="7" t="s">
        <v>21</v>
      </c>
      <c r="AJ6" s="6" t="s">
        <v>20</v>
      </c>
      <c r="AK6" s="7" t="s">
        <v>21</v>
      </c>
      <c r="AL6" s="10" t="s">
        <v>20</v>
      </c>
      <c r="AM6" s="12" t="s">
        <v>21</v>
      </c>
    </row>
    <row r="7" spans="1:39" s="14" customFormat="1" ht="38.25" x14ac:dyDescent="0.2">
      <c r="A7" s="13" t="s">
        <v>22</v>
      </c>
      <c r="B7" s="14">
        <v>761</v>
      </c>
      <c r="C7" s="14">
        <v>421.57319000000007</v>
      </c>
      <c r="D7" s="14">
        <v>14</v>
      </c>
      <c r="E7" s="14">
        <v>16.954189999999997</v>
      </c>
      <c r="F7" s="14">
        <v>2754</v>
      </c>
      <c r="G7" s="14">
        <v>2720.8084599999997</v>
      </c>
      <c r="H7" s="14">
        <v>1027</v>
      </c>
      <c r="I7" s="14">
        <v>836.57078000000013</v>
      </c>
      <c r="J7" s="14">
        <v>21</v>
      </c>
      <c r="K7" s="14">
        <v>376.16901000000001</v>
      </c>
      <c r="L7" s="14">
        <v>586</v>
      </c>
      <c r="M7" s="14">
        <v>19373.654939999997</v>
      </c>
      <c r="N7" s="14">
        <f>B7+D7+F7+H7+J7+L7</f>
        <v>5163</v>
      </c>
      <c r="O7" s="14">
        <f>C7+E7+G7+I7+K7+M7</f>
        <v>23745.730569999996</v>
      </c>
      <c r="P7" s="15">
        <v>13934</v>
      </c>
      <c r="Q7" s="15">
        <v>12813.62327</v>
      </c>
      <c r="R7" s="15"/>
      <c r="S7" s="15"/>
      <c r="T7" s="15"/>
      <c r="U7" s="15"/>
      <c r="V7" s="15"/>
      <c r="W7" s="15"/>
      <c r="X7" s="15">
        <f>R7+T7+V7</f>
        <v>0</v>
      </c>
      <c r="Y7" s="15">
        <f>S7+U7+W7</f>
        <v>0</v>
      </c>
      <c r="Z7" s="15"/>
      <c r="AA7" s="15"/>
      <c r="AB7" s="14">
        <v>0</v>
      </c>
      <c r="AC7" s="14">
        <v>0</v>
      </c>
      <c r="AD7" s="15">
        <v>436</v>
      </c>
      <c r="AE7" s="15">
        <v>73.37764</v>
      </c>
      <c r="AF7" s="15"/>
      <c r="AG7" s="15"/>
      <c r="AH7" s="15">
        <v>72</v>
      </c>
      <c r="AI7" s="15">
        <v>402.61608999999999</v>
      </c>
      <c r="AJ7" s="15">
        <v>197</v>
      </c>
      <c r="AK7" s="15">
        <v>1136.59969</v>
      </c>
      <c r="AL7" s="14">
        <f>N7+P7+X7+Z7+AB7+AD7+AF7+AH7+AJ7</f>
        <v>19802</v>
      </c>
      <c r="AM7" s="14">
        <f>O7+Q7+Y7+AA7+AC7+AE7+AG7+AI7+AK7</f>
        <v>38171.947260000001</v>
      </c>
    </row>
    <row r="8" spans="1:39" s="14" customFormat="1" ht="38.25" x14ac:dyDescent="0.2">
      <c r="A8" s="13" t="s">
        <v>23</v>
      </c>
      <c r="B8" s="14">
        <f>2581-6</f>
        <v>2575</v>
      </c>
      <c r="C8" s="14">
        <f>764.46332-0.3564</f>
        <v>764.10691999999995</v>
      </c>
      <c r="D8" s="14">
        <v>43</v>
      </c>
      <c r="E8" s="14">
        <v>58.094850000000001</v>
      </c>
      <c r="F8" s="14">
        <v>2094</v>
      </c>
      <c r="G8" s="14">
        <v>2274.6776200000004</v>
      </c>
      <c r="H8" s="14">
        <f>1568-1-1</f>
        <v>1566</v>
      </c>
      <c r="I8" s="14">
        <f>1193.0857-1.011-0.6411</f>
        <v>1191.4336000000001</v>
      </c>
      <c r="J8" s="14">
        <v>67</v>
      </c>
      <c r="K8" s="14">
        <v>980.15144000000009</v>
      </c>
      <c r="L8" s="14">
        <f>1174-1</f>
        <v>1173</v>
      </c>
      <c r="M8" s="14">
        <f>20797.62382-30.10545</f>
        <v>20767.518370000002</v>
      </c>
      <c r="N8" s="14">
        <f t="shared" ref="N8:O71" si="0">B8+D8+F8+H8+J8+L8</f>
        <v>7518</v>
      </c>
      <c r="O8" s="14">
        <f t="shared" si="0"/>
        <v>26035.982800000002</v>
      </c>
      <c r="P8" s="15">
        <f>15238-6</f>
        <v>15232</v>
      </c>
      <c r="Q8" s="15">
        <f>14449.8549-4.84281</f>
        <v>14445.01209</v>
      </c>
      <c r="R8" s="15"/>
      <c r="S8" s="15"/>
      <c r="T8" s="15"/>
      <c r="U8" s="15"/>
      <c r="V8" s="15"/>
      <c r="W8" s="15"/>
      <c r="X8" s="15">
        <f t="shared" ref="X8:Y71" si="1">R8+T8+V8</f>
        <v>0</v>
      </c>
      <c r="Y8" s="15">
        <f t="shared" si="1"/>
        <v>0</v>
      </c>
      <c r="Z8" s="15"/>
      <c r="AA8" s="15"/>
      <c r="AB8" s="14">
        <v>0</v>
      </c>
      <c r="AC8" s="14">
        <v>0</v>
      </c>
      <c r="AD8" s="15">
        <v>114</v>
      </c>
      <c r="AE8" s="15">
        <v>14.898900000000001</v>
      </c>
      <c r="AF8" s="15"/>
      <c r="AG8" s="15"/>
      <c r="AH8" s="15">
        <v>104</v>
      </c>
      <c r="AI8" s="15">
        <v>486.16784999999999</v>
      </c>
      <c r="AJ8" s="15">
        <v>336</v>
      </c>
      <c r="AK8" s="15">
        <v>613.6481</v>
      </c>
      <c r="AL8" s="14">
        <f t="shared" ref="AL8:AM71" si="2">N8+P8+X8+Z8+AB8+AD8+AF8+AH8+AJ8</f>
        <v>23304</v>
      </c>
      <c r="AM8" s="14">
        <f t="shared" si="2"/>
        <v>41595.709739999998</v>
      </c>
    </row>
    <row r="9" spans="1:39" s="14" customFormat="1" ht="38.25" x14ac:dyDescent="0.2">
      <c r="A9" s="13" t="s">
        <v>24</v>
      </c>
      <c r="B9" s="14">
        <f>1669-6</f>
        <v>1663</v>
      </c>
      <c r="C9" s="14">
        <f>162.12804-0.33648</f>
        <v>161.79156</v>
      </c>
      <c r="D9" s="14">
        <v>10</v>
      </c>
      <c r="E9" s="14">
        <v>13.289289999999999</v>
      </c>
      <c r="F9" s="14">
        <v>1044</v>
      </c>
      <c r="G9" s="14">
        <v>929.75885000000017</v>
      </c>
      <c r="H9" s="14">
        <v>394</v>
      </c>
      <c r="I9" s="14">
        <v>527.81835000000001</v>
      </c>
      <c r="J9" s="14">
        <v>16</v>
      </c>
      <c r="K9" s="14">
        <v>127.88919</v>
      </c>
      <c r="L9" s="14">
        <v>229</v>
      </c>
      <c r="M9" s="14">
        <v>6701.2759899999992</v>
      </c>
      <c r="N9" s="14">
        <f t="shared" si="0"/>
        <v>3356</v>
      </c>
      <c r="O9" s="14">
        <f t="shared" si="0"/>
        <v>8461.82323</v>
      </c>
      <c r="P9" s="15">
        <v>8852</v>
      </c>
      <c r="Q9" s="15">
        <v>8572.1083400000007</v>
      </c>
      <c r="R9" s="15"/>
      <c r="S9" s="15"/>
      <c r="T9" s="15"/>
      <c r="U9" s="15"/>
      <c r="V9" s="15"/>
      <c r="W9" s="15"/>
      <c r="X9" s="15">
        <f t="shared" si="1"/>
        <v>0</v>
      </c>
      <c r="Y9" s="15">
        <f t="shared" si="1"/>
        <v>0</v>
      </c>
      <c r="Z9" s="15"/>
      <c r="AA9" s="15"/>
      <c r="AB9" s="14">
        <v>0</v>
      </c>
      <c r="AC9" s="14">
        <v>0</v>
      </c>
      <c r="AD9" s="15">
        <v>142</v>
      </c>
      <c r="AE9" s="15">
        <v>23.036900000000003</v>
      </c>
      <c r="AF9" s="15"/>
      <c r="AG9" s="15"/>
      <c r="AH9" s="15">
        <v>5</v>
      </c>
      <c r="AI9" s="15">
        <v>33.451100000000004</v>
      </c>
      <c r="AJ9" s="16">
        <f>89-1</f>
        <v>88</v>
      </c>
      <c r="AK9" s="16">
        <f>768.38333-13.02237</f>
        <v>755.36095999999998</v>
      </c>
      <c r="AL9" s="14">
        <f t="shared" si="2"/>
        <v>12443</v>
      </c>
      <c r="AM9" s="14">
        <f t="shared" si="2"/>
        <v>17845.780529999996</v>
      </c>
    </row>
    <row r="10" spans="1:39" s="14" customFormat="1" ht="38.25" x14ac:dyDescent="0.2">
      <c r="A10" s="13" t="s">
        <v>25</v>
      </c>
      <c r="B10" s="14">
        <v>5154</v>
      </c>
      <c r="C10" s="14">
        <v>530.19905999999992</v>
      </c>
      <c r="D10" s="14">
        <v>18</v>
      </c>
      <c r="E10" s="14">
        <v>13.89913</v>
      </c>
      <c r="F10" s="14">
        <v>1624</v>
      </c>
      <c r="G10" s="14">
        <v>1504.0765699999997</v>
      </c>
      <c r="H10" s="14">
        <v>552</v>
      </c>
      <c r="I10" s="14">
        <v>556.04052999999999</v>
      </c>
      <c r="J10" s="14">
        <v>45</v>
      </c>
      <c r="K10" s="14">
        <v>620.24861999999996</v>
      </c>
      <c r="L10" s="14">
        <v>1172</v>
      </c>
      <c r="M10" s="14">
        <v>38938.088180000006</v>
      </c>
      <c r="N10" s="14">
        <f t="shared" si="0"/>
        <v>8565</v>
      </c>
      <c r="O10" s="14">
        <f t="shared" si="0"/>
        <v>42162.552090000005</v>
      </c>
      <c r="P10" s="15">
        <v>23744</v>
      </c>
      <c r="Q10" s="15">
        <v>24036.068400000004</v>
      </c>
      <c r="R10" s="15"/>
      <c r="S10" s="15"/>
      <c r="T10" s="15"/>
      <c r="U10" s="15"/>
      <c r="V10" s="15"/>
      <c r="W10" s="15"/>
      <c r="X10" s="15">
        <f t="shared" si="1"/>
        <v>0</v>
      </c>
      <c r="Y10" s="15">
        <f t="shared" si="1"/>
        <v>0</v>
      </c>
      <c r="Z10" s="15"/>
      <c r="AA10" s="15"/>
      <c r="AB10" s="14">
        <v>0</v>
      </c>
      <c r="AC10" s="14">
        <v>0</v>
      </c>
      <c r="AD10" s="15"/>
      <c r="AE10" s="15"/>
      <c r="AF10" s="15"/>
      <c r="AG10" s="15"/>
      <c r="AH10" s="15"/>
      <c r="AI10" s="15"/>
      <c r="AJ10" s="15">
        <v>239</v>
      </c>
      <c r="AK10" s="15">
        <v>2099.7187300000001</v>
      </c>
      <c r="AL10" s="14">
        <f t="shared" si="2"/>
        <v>32548</v>
      </c>
      <c r="AM10" s="14">
        <f t="shared" si="2"/>
        <v>68298.339219999994</v>
      </c>
    </row>
    <row r="11" spans="1:39" s="14" customFormat="1" ht="38.25" x14ac:dyDescent="0.2">
      <c r="A11" s="13" t="s">
        <v>26</v>
      </c>
      <c r="B11" s="14">
        <v>915</v>
      </c>
      <c r="C11" s="14">
        <v>456.54660000000007</v>
      </c>
      <c r="D11" s="14">
        <v>24</v>
      </c>
      <c r="E11" s="14">
        <v>30.242959999999997</v>
      </c>
      <c r="F11" s="14">
        <v>1148</v>
      </c>
      <c r="G11" s="14">
        <v>1602.3119799999999</v>
      </c>
      <c r="H11" s="14">
        <v>702</v>
      </c>
      <c r="I11" s="14">
        <v>1563.9259500000001</v>
      </c>
      <c r="J11" s="14">
        <v>50</v>
      </c>
      <c r="K11" s="14">
        <v>1162.0150599999999</v>
      </c>
      <c r="L11" s="14">
        <v>812</v>
      </c>
      <c r="M11" s="14">
        <v>21424.603320000006</v>
      </c>
      <c r="N11" s="14">
        <f t="shared" si="0"/>
        <v>3651</v>
      </c>
      <c r="O11" s="14">
        <f t="shared" si="0"/>
        <v>26239.645870000008</v>
      </c>
      <c r="P11" s="15">
        <v>18176</v>
      </c>
      <c r="Q11" s="15">
        <v>20227.915270000005</v>
      </c>
      <c r="R11" s="15"/>
      <c r="S11" s="15"/>
      <c r="T11" s="15"/>
      <c r="U11" s="15"/>
      <c r="V11" s="15"/>
      <c r="W11" s="15"/>
      <c r="X11" s="15">
        <f t="shared" si="1"/>
        <v>0</v>
      </c>
      <c r="Y11" s="15">
        <f t="shared" si="1"/>
        <v>0</v>
      </c>
      <c r="Z11" s="15">
        <v>785</v>
      </c>
      <c r="AA11" s="15">
        <v>8637.9390000000003</v>
      </c>
      <c r="AB11" s="14">
        <v>90</v>
      </c>
      <c r="AC11" s="14">
        <v>953.1549</v>
      </c>
      <c r="AD11" s="15">
        <v>300</v>
      </c>
      <c r="AE11" s="15">
        <v>91.871719999999996</v>
      </c>
      <c r="AF11" s="15"/>
      <c r="AG11" s="15"/>
      <c r="AH11" s="15">
        <v>88</v>
      </c>
      <c r="AI11" s="15">
        <v>1258.1528499999999</v>
      </c>
      <c r="AJ11" s="15">
        <v>222</v>
      </c>
      <c r="AK11" s="15">
        <v>1394.5873700000002</v>
      </c>
      <c r="AL11" s="14">
        <f t="shared" si="2"/>
        <v>23312</v>
      </c>
      <c r="AM11" s="14">
        <f t="shared" si="2"/>
        <v>58803.266980000015</v>
      </c>
    </row>
    <row r="12" spans="1:39" s="14" customFormat="1" ht="38.25" x14ac:dyDescent="0.2">
      <c r="A12" s="13" t="s">
        <v>27</v>
      </c>
      <c r="B12" s="14">
        <v>2486</v>
      </c>
      <c r="C12" s="14">
        <v>316.68853000000001</v>
      </c>
      <c r="D12" s="14">
        <v>14</v>
      </c>
      <c r="E12" s="14">
        <v>16.493040000000001</v>
      </c>
      <c r="F12" s="14">
        <v>1363</v>
      </c>
      <c r="G12" s="14">
        <v>1566.9434400000002</v>
      </c>
      <c r="H12" s="14">
        <v>1067</v>
      </c>
      <c r="I12" s="14">
        <v>1532.68995</v>
      </c>
      <c r="J12" s="14">
        <v>11</v>
      </c>
      <c r="K12" s="14">
        <v>185.83141999999998</v>
      </c>
      <c r="L12" s="14">
        <v>465</v>
      </c>
      <c r="M12" s="14">
        <v>14562.99533</v>
      </c>
      <c r="N12" s="14">
        <f t="shared" si="0"/>
        <v>5406</v>
      </c>
      <c r="O12" s="14">
        <f t="shared" si="0"/>
        <v>18181.64171</v>
      </c>
      <c r="P12" s="15">
        <v>7893</v>
      </c>
      <c r="Q12" s="15">
        <v>7007.3379499999992</v>
      </c>
      <c r="R12" s="15">
        <v>970</v>
      </c>
      <c r="S12" s="15">
        <v>209.78014000000002</v>
      </c>
      <c r="T12" s="15">
        <v>341</v>
      </c>
      <c r="U12" s="15">
        <v>383.93412999999998</v>
      </c>
      <c r="V12" s="15">
        <v>101</v>
      </c>
      <c r="W12" s="15">
        <v>51.563449999999996</v>
      </c>
      <c r="X12" s="15">
        <f t="shared" si="1"/>
        <v>1412</v>
      </c>
      <c r="Y12" s="15">
        <f t="shared" si="1"/>
        <v>645.27771999999993</v>
      </c>
      <c r="Z12" s="15"/>
      <c r="AA12" s="15"/>
      <c r="AB12" s="14">
        <v>0</v>
      </c>
      <c r="AC12" s="14">
        <v>0</v>
      </c>
      <c r="AD12" s="15">
        <v>31</v>
      </c>
      <c r="AE12" s="15">
        <v>8.3257300000000001</v>
      </c>
      <c r="AF12" s="15"/>
      <c r="AG12" s="15"/>
      <c r="AH12" s="15">
        <v>108</v>
      </c>
      <c r="AI12" s="15">
        <v>483.27419000000003</v>
      </c>
      <c r="AJ12" s="15">
        <v>116</v>
      </c>
      <c r="AK12" s="15">
        <v>913.66438000000016</v>
      </c>
      <c r="AL12" s="14">
        <f t="shared" si="2"/>
        <v>14966</v>
      </c>
      <c r="AM12" s="14">
        <f t="shared" si="2"/>
        <v>27239.521679999998</v>
      </c>
    </row>
    <row r="13" spans="1:39" s="14" customFormat="1" ht="38.25" x14ac:dyDescent="0.2">
      <c r="A13" s="13" t="s">
        <v>28</v>
      </c>
      <c r="B13" s="14">
        <v>1669</v>
      </c>
      <c r="C13" s="14">
        <v>252.05288000000002</v>
      </c>
      <c r="D13" s="14">
        <v>1</v>
      </c>
      <c r="E13" s="14">
        <v>1.2169000000000001</v>
      </c>
      <c r="F13" s="14">
        <v>761</v>
      </c>
      <c r="G13" s="14">
        <v>822.05683999999997</v>
      </c>
      <c r="H13" s="14">
        <v>390</v>
      </c>
      <c r="I13" s="14">
        <v>323.37326000000002</v>
      </c>
      <c r="J13" s="14">
        <v>7</v>
      </c>
      <c r="K13" s="14">
        <v>95.729659999999996</v>
      </c>
      <c r="L13" s="14">
        <v>647</v>
      </c>
      <c r="M13" s="14">
        <v>18251.688330000001</v>
      </c>
      <c r="N13" s="14">
        <f t="shared" si="0"/>
        <v>3475</v>
      </c>
      <c r="O13" s="14">
        <f t="shared" si="0"/>
        <v>19746.117870000002</v>
      </c>
      <c r="P13" s="15">
        <v>7454</v>
      </c>
      <c r="Q13" s="15">
        <v>9054.5999999999967</v>
      </c>
      <c r="R13" s="15"/>
      <c r="S13" s="15"/>
      <c r="T13" s="15"/>
      <c r="U13" s="15"/>
      <c r="V13" s="15"/>
      <c r="W13" s="15"/>
      <c r="X13" s="15">
        <f t="shared" si="1"/>
        <v>0</v>
      </c>
      <c r="Y13" s="15">
        <f t="shared" si="1"/>
        <v>0</v>
      </c>
      <c r="Z13" s="15"/>
      <c r="AA13" s="15"/>
      <c r="AB13" s="14">
        <v>0</v>
      </c>
      <c r="AC13" s="14">
        <v>0</v>
      </c>
      <c r="AD13" s="15"/>
      <c r="AE13" s="15"/>
      <c r="AF13" s="15"/>
      <c r="AG13" s="15"/>
      <c r="AH13" s="15">
        <v>3</v>
      </c>
      <c r="AI13" s="15">
        <v>15.06129</v>
      </c>
      <c r="AJ13" s="15">
        <v>15</v>
      </c>
      <c r="AK13" s="15">
        <v>76.943509999999989</v>
      </c>
      <c r="AL13" s="14">
        <f t="shared" si="2"/>
        <v>10947</v>
      </c>
      <c r="AM13" s="14">
        <f t="shared" si="2"/>
        <v>28892.722670000003</v>
      </c>
    </row>
    <row r="14" spans="1:39" s="14" customFormat="1" ht="38.25" x14ac:dyDescent="0.2">
      <c r="A14" s="13" t="s">
        <v>29</v>
      </c>
      <c r="B14" s="14">
        <v>920</v>
      </c>
      <c r="C14" s="14">
        <v>441.11840000000001</v>
      </c>
      <c r="D14" s="14">
        <v>22</v>
      </c>
      <c r="E14" s="14">
        <v>30.9757</v>
      </c>
      <c r="F14" s="14">
        <v>3852</v>
      </c>
      <c r="G14" s="14">
        <v>2326.5449100000001</v>
      </c>
      <c r="H14" s="14">
        <f>1256-1</f>
        <v>1255</v>
      </c>
      <c r="I14" s="14">
        <f>1405.48033-0.61608</f>
        <v>1404.8642500000001</v>
      </c>
      <c r="J14" s="14">
        <v>18</v>
      </c>
      <c r="K14" s="14">
        <v>462.39587</v>
      </c>
      <c r="L14" s="14">
        <v>956</v>
      </c>
      <c r="M14" s="14">
        <v>24498.886429999999</v>
      </c>
      <c r="N14" s="14">
        <f t="shared" si="0"/>
        <v>7023</v>
      </c>
      <c r="O14" s="14">
        <f t="shared" si="0"/>
        <v>29164.785559999997</v>
      </c>
      <c r="P14" s="15">
        <v>23246</v>
      </c>
      <c r="Q14" s="15">
        <v>19010.773159999997</v>
      </c>
      <c r="R14" s="15"/>
      <c r="S14" s="15"/>
      <c r="T14" s="15"/>
      <c r="U14" s="15"/>
      <c r="V14" s="15"/>
      <c r="W14" s="15"/>
      <c r="X14" s="15">
        <f t="shared" si="1"/>
        <v>0</v>
      </c>
      <c r="Y14" s="15">
        <f t="shared" si="1"/>
        <v>0</v>
      </c>
      <c r="Z14" s="15"/>
      <c r="AA14" s="15"/>
      <c r="AB14" s="14">
        <v>0</v>
      </c>
      <c r="AC14" s="14">
        <v>0</v>
      </c>
      <c r="AD14" s="15">
        <v>235</v>
      </c>
      <c r="AE14" s="15">
        <v>47.922229999999999</v>
      </c>
      <c r="AF14" s="15"/>
      <c r="AG14" s="15"/>
      <c r="AH14" s="15">
        <v>81</v>
      </c>
      <c r="AI14" s="15">
        <v>453.47605999999996</v>
      </c>
      <c r="AJ14" s="15">
        <v>167</v>
      </c>
      <c r="AK14" s="15">
        <v>1061.7125199999998</v>
      </c>
      <c r="AL14" s="14">
        <f t="shared" si="2"/>
        <v>30752</v>
      </c>
      <c r="AM14" s="14">
        <f t="shared" si="2"/>
        <v>49738.669529999992</v>
      </c>
    </row>
    <row r="15" spans="1:39" s="14" customFormat="1" ht="38.25" x14ac:dyDescent="0.2">
      <c r="A15" s="13" t="s">
        <v>30</v>
      </c>
      <c r="B15" s="14">
        <v>996</v>
      </c>
      <c r="C15" s="14">
        <v>73.303699999999992</v>
      </c>
      <c r="D15" s="14">
        <v>16</v>
      </c>
      <c r="E15" s="14">
        <v>41.784979999999997</v>
      </c>
      <c r="F15" s="14">
        <v>1286</v>
      </c>
      <c r="G15" s="14">
        <v>1198.19137</v>
      </c>
      <c r="H15" s="14">
        <v>563</v>
      </c>
      <c r="I15" s="14">
        <v>600.0524999999999</v>
      </c>
      <c r="J15" s="14">
        <v>22</v>
      </c>
      <c r="K15" s="14">
        <v>321.13515999999998</v>
      </c>
      <c r="L15" s="14">
        <v>246</v>
      </c>
      <c r="M15" s="14">
        <v>5693.3020999999999</v>
      </c>
      <c r="N15" s="14">
        <f t="shared" si="0"/>
        <v>3129</v>
      </c>
      <c r="O15" s="14">
        <f t="shared" si="0"/>
        <v>7927.7698099999998</v>
      </c>
      <c r="P15" s="15">
        <v>7988</v>
      </c>
      <c r="Q15" s="15">
        <v>7484.6839900000004</v>
      </c>
      <c r="R15" s="15"/>
      <c r="S15" s="15"/>
      <c r="T15" s="15"/>
      <c r="U15" s="15"/>
      <c r="V15" s="15"/>
      <c r="W15" s="15"/>
      <c r="X15" s="15">
        <f t="shared" si="1"/>
        <v>0</v>
      </c>
      <c r="Y15" s="15">
        <f t="shared" si="1"/>
        <v>0</v>
      </c>
      <c r="Z15" s="15"/>
      <c r="AA15" s="15"/>
      <c r="AB15" s="14">
        <v>0</v>
      </c>
      <c r="AC15" s="14">
        <v>0</v>
      </c>
      <c r="AD15" s="15">
        <v>148</v>
      </c>
      <c r="AE15" s="15">
        <v>21.35107</v>
      </c>
      <c r="AF15" s="15"/>
      <c r="AG15" s="15"/>
      <c r="AH15" s="15">
        <v>20</v>
      </c>
      <c r="AI15" s="15">
        <v>53.811839999999997</v>
      </c>
      <c r="AJ15" s="15">
        <v>64</v>
      </c>
      <c r="AK15" s="15">
        <v>350.75400999999999</v>
      </c>
      <c r="AL15" s="14">
        <f t="shared" si="2"/>
        <v>11349</v>
      </c>
      <c r="AM15" s="14">
        <f t="shared" si="2"/>
        <v>15838.370720000001</v>
      </c>
    </row>
    <row r="16" spans="1:39" s="14" customFormat="1" ht="38.25" x14ac:dyDescent="0.2">
      <c r="A16" s="13" t="s">
        <v>31</v>
      </c>
      <c r="B16" s="14">
        <v>2197</v>
      </c>
      <c r="C16" s="14">
        <v>394.54670999999996</v>
      </c>
      <c r="D16" s="14">
        <v>18</v>
      </c>
      <c r="E16" s="14">
        <v>29.579879999999999</v>
      </c>
      <c r="F16" s="14">
        <v>2121</v>
      </c>
      <c r="G16" s="14">
        <v>3455.2956899999995</v>
      </c>
      <c r="H16" s="14">
        <v>1843</v>
      </c>
      <c r="I16" s="14">
        <v>1770.85698</v>
      </c>
      <c r="J16" s="14">
        <v>43</v>
      </c>
      <c r="K16" s="14">
        <v>401.80766</v>
      </c>
      <c r="L16" s="14">
        <v>328</v>
      </c>
      <c r="M16" s="14">
        <v>7257.5803100000003</v>
      </c>
      <c r="N16" s="14">
        <f t="shared" si="0"/>
        <v>6550</v>
      </c>
      <c r="O16" s="14">
        <f t="shared" si="0"/>
        <v>13309.667229999999</v>
      </c>
      <c r="P16" s="15">
        <f>14826-2</f>
        <v>14824</v>
      </c>
      <c r="Q16" s="15">
        <f>16116.50286-1.9477</f>
        <v>16114.55516</v>
      </c>
      <c r="R16" s="15"/>
      <c r="S16" s="15"/>
      <c r="T16" s="15"/>
      <c r="U16" s="15"/>
      <c r="V16" s="15"/>
      <c r="W16" s="15"/>
      <c r="X16" s="15">
        <f t="shared" si="1"/>
        <v>0</v>
      </c>
      <c r="Y16" s="15">
        <f t="shared" si="1"/>
        <v>0</v>
      </c>
      <c r="Z16" s="15"/>
      <c r="AA16" s="15"/>
      <c r="AB16" s="14">
        <v>2655</v>
      </c>
      <c r="AC16" s="14">
        <v>4879.860999999999</v>
      </c>
      <c r="AD16" s="15">
        <f>282-2</f>
        <v>280</v>
      </c>
      <c r="AE16" s="15">
        <f>58.09084-0.36005</f>
        <v>57.730789999999999</v>
      </c>
      <c r="AF16" s="15"/>
      <c r="AG16" s="15"/>
      <c r="AH16" s="15">
        <v>1</v>
      </c>
      <c r="AI16" s="15">
        <v>1.8874799999999998</v>
      </c>
      <c r="AJ16" s="15">
        <v>161</v>
      </c>
      <c r="AK16" s="15">
        <v>521.42815999999993</v>
      </c>
      <c r="AL16" s="14">
        <f t="shared" si="2"/>
        <v>24471</v>
      </c>
      <c r="AM16" s="14">
        <f t="shared" si="2"/>
        <v>34885.129820000002</v>
      </c>
    </row>
    <row r="17" spans="1:39" s="14" customFormat="1" ht="25.5" x14ac:dyDescent="0.2">
      <c r="A17" s="13" t="s">
        <v>32</v>
      </c>
      <c r="B17" s="14">
        <v>618</v>
      </c>
      <c r="C17" s="14">
        <v>892.69290000000001</v>
      </c>
      <c r="D17" s="14">
        <v>46</v>
      </c>
      <c r="E17" s="14">
        <v>130.91164000000001</v>
      </c>
      <c r="F17" s="14">
        <v>915</v>
      </c>
      <c r="G17" s="14">
        <v>4450.1652999999997</v>
      </c>
      <c r="H17" s="14">
        <v>13</v>
      </c>
      <c r="I17" s="14">
        <v>53.081669999999995</v>
      </c>
      <c r="J17" s="14">
        <v>54</v>
      </c>
      <c r="K17" s="14">
        <v>1257.1785800000002</v>
      </c>
      <c r="L17" s="14">
        <v>459</v>
      </c>
      <c r="M17" s="14">
        <v>13215.402880000001</v>
      </c>
      <c r="N17" s="14">
        <f t="shared" si="0"/>
        <v>2105</v>
      </c>
      <c r="O17" s="14">
        <f t="shared" si="0"/>
        <v>19999.432970000002</v>
      </c>
      <c r="P17" s="15"/>
      <c r="Q17" s="15"/>
      <c r="R17" s="15"/>
      <c r="S17" s="15"/>
      <c r="T17" s="15"/>
      <c r="U17" s="15"/>
      <c r="V17" s="15"/>
      <c r="W17" s="15"/>
      <c r="X17" s="15">
        <f t="shared" si="1"/>
        <v>0</v>
      </c>
      <c r="Y17" s="15">
        <f t="shared" si="1"/>
        <v>0</v>
      </c>
      <c r="Z17" s="15"/>
      <c r="AA17" s="15"/>
      <c r="AB17" s="14">
        <v>0</v>
      </c>
      <c r="AC17" s="14">
        <v>0</v>
      </c>
      <c r="AD17" s="15"/>
      <c r="AE17" s="15"/>
      <c r="AF17" s="15"/>
      <c r="AG17" s="15"/>
      <c r="AH17" s="15"/>
      <c r="AI17" s="15"/>
      <c r="AJ17" s="15">
        <v>129</v>
      </c>
      <c r="AK17" s="15">
        <v>1064.39671</v>
      </c>
      <c r="AL17" s="14">
        <f t="shared" si="2"/>
        <v>2234</v>
      </c>
      <c r="AM17" s="14">
        <f t="shared" si="2"/>
        <v>21063.829680000003</v>
      </c>
    </row>
    <row r="18" spans="1:39" s="14" customFormat="1" ht="38.25" x14ac:dyDescent="0.2">
      <c r="A18" s="13" t="s">
        <v>33</v>
      </c>
      <c r="B18" s="14">
        <f>428-6</f>
        <v>422</v>
      </c>
      <c r="C18" s="14">
        <f>188.92709-0.7616</f>
        <v>188.16549000000001</v>
      </c>
      <c r="D18" s="14">
        <v>17</v>
      </c>
      <c r="E18" s="14">
        <v>22.178890000000003</v>
      </c>
      <c r="F18" s="14">
        <v>4397</v>
      </c>
      <c r="G18" s="14">
        <v>5607.0268299999998</v>
      </c>
      <c r="H18" s="14">
        <v>741</v>
      </c>
      <c r="I18" s="14">
        <v>1067.9052499999998</v>
      </c>
      <c r="J18" s="14">
        <v>27</v>
      </c>
      <c r="K18" s="14">
        <v>228.33013</v>
      </c>
      <c r="L18" s="14">
        <v>780</v>
      </c>
      <c r="M18" s="14">
        <v>14372.263400000002</v>
      </c>
      <c r="N18" s="14">
        <f t="shared" si="0"/>
        <v>6384</v>
      </c>
      <c r="O18" s="14">
        <f t="shared" si="0"/>
        <v>21485.869989999999</v>
      </c>
      <c r="P18" s="15">
        <v>10850</v>
      </c>
      <c r="Q18" s="15">
        <f>9874.6579-8.74452</f>
        <v>9865.91338</v>
      </c>
      <c r="R18" s="15"/>
      <c r="S18" s="15"/>
      <c r="T18" s="15"/>
      <c r="U18" s="15"/>
      <c r="V18" s="15"/>
      <c r="W18" s="15"/>
      <c r="X18" s="15">
        <f t="shared" si="1"/>
        <v>0</v>
      </c>
      <c r="Y18" s="15">
        <f t="shared" si="1"/>
        <v>0</v>
      </c>
      <c r="Z18" s="15"/>
      <c r="AA18" s="15"/>
      <c r="AB18" s="14">
        <v>0</v>
      </c>
      <c r="AC18" s="14">
        <v>0</v>
      </c>
      <c r="AD18" s="15">
        <v>48</v>
      </c>
      <c r="AE18" s="15">
        <v>11.642019999999999</v>
      </c>
      <c r="AF18" s="15"/>
      <c r="AG18" s="15"/>
      <c r="AH18" s="15">
        <v>56</v>
      </c>
      <c r="AI18" s="15">
        <v>322.18164000000002</v>
      </c>
      <c r="AJ18" s="15">
        <v>179</v>
      </c>
      <c r="AK18" s="15">
        <v>1556.3245199999999</v>
      </c>
      <c r="AL18" s="14">
        <f t="shared" si="2"/>
        <v>17517</v>
      </c>
      <c r="AM18" s="14">
        <f t="shared" si="2"/>
        <v>33241.931549999994</v>
      </c>
    </row>
    <row r="19" spans="1:39" s="14" customFormat="1" ht="25.5" x14ac:dyDescent="0.2">
      <c r="A19" s="13" t="s">
        <v>34</v>
      </c>
      <c r="B19" s="14">
        <v>18</v>
      </c>
      <c r="C19" s="14">
        <v>4.4085099999999997</v>
      </c>
      <c r="D19" s="14">
        <v>104</v>
      </c>
      <c r="E19" s="14">
        <v>566.6644</v>
      </c>
      <c r="F19" s="14">
        <v>333</v>
      </c>
      <c r="G19" s="14">
        <v>3668.6905400000001</v>
      </c>
      <c r="H19" s="14">
        <v>218</v>
      </c>
      <c r="I19" s="14">
        <v>1415.2630099999999</v>
      </c>
      <c r="J19" s="14">
        <v>17</v>
      </c>
      <c r="K19" s="14">
        <v>1230.2283500000001</v>
      </c>
      <c r="L19" s="14">
        <v>16</v>
      </c>
      <c r="M19" s="14">
        <v>426.36722999999995</v>
      </c>
      <c r="N19" s="14">
        <f t="shared" si="0"/>
        <v>706</v>
      </c>
      <c r="O19" s="14">
        <f t="shared" si="0"/>
        <v>7311.6220400000002</v>
      </c>
      <c r="P19" s="15">
        <v>78</v>
      </c>
      <c r="Q19" s="15">
        <v>80.355000000000004</v>
      </c>
      <c r="R19" s="15"/>
      <c r="S19" s="15"/>
      <c r="T19" s="15"/>
      <c r="U19" s="15"/>
      <c r="V19" s="15"/>
      <c r="W19" s="15"/>
      <c r="X19" s="15">
        <f t="shared" si="1"/>
        <v>0</v>
      </c>
      <c r="Y19" s="15">
        <f t="shared" si="1"/>
        <v>0</v>
      </c>
      <c r="Z19" s="15"/>
      <c r="AA19" s="15"/>
      <c r="AB19" s="14">
        <v>0</v>
      </c>
      <c r="AC19" s="14">
        <v>0</v>
      </c>
      <c r="AD19" s="15"/>
      <c r="AE19" s="15"/>
      <c r="AF19" s="15"/>
      <c r="AG19" s="15"/>
      <c r="AH19" s="15"/>
      <c r="AI19" s="15"/>
      <c r="AJ19" s="15">
        <v>13</v>
      </c>
      <c r="AK19" s="15">
        <v>60.998580000000004</v>
      </c>
      <c r="AL19" s="14">
        <f t="shared" si="2"/>
        <v>797</v>
      </c>
      <c r="AM19" s="14">
        <f t="shared" si="2"/>
        <v>7452.9756200000002</v>
      </c>
    </row>
    <row r="20" spans="1:39" s="14" customFormat="1" ht="51" x14ac:dyDescent="0.2">
      <c r="A20" s="13" t="s">
        <v>35</v>
      </c>
      <c r="N20" s="14">
        <f t="shared" si="0"/>
        <v>0</v>
      </c>
      <c r="O20" s="14">
        <f t="shared" si="0"/>
        <v>0</v>
      </c>
      <c r="P20" s="15"/>
      <c r="Q20" s="15"/>
      <c r="R20" s="15"/>
      <c r="S20" s="15"/>
      <c r="T20" s="15"/>
      <c r="U20" s="15"/>
      <c r="V20" s="15"/>
      <c r="W20" s="15"/>
      <c r="X20" s="15">
        <f t="shared" si="1"/>
        <v>0</v>
      </c>
      <c r="Y20" s="15">
        <f t="shared" si="1"/>
        <v>0</v>
      </c>
      <c r="Z20" s="15"/>
      <c r="AA20" s="15"/>
      <c r="AB20" s="14">
        <v>0</v>
      </c>
      <c r="AC20" s="14">
        <v>0</v>
      </c>
      <c r="AD20" s="15"/>
      <c r="AE20" s="15"/>
      <c r="AF20" s="15"/>
      <c r="AG20" s="15"/>
      <c r="AH20" s="15">
        <v>19</v>
      </c>
      <c r="AI20" s="15">
        <v>294.98955999999998</v>
      </c>
      <c r="AJ20" s="15"/>
      <c r="AK20" s="15"/>
      <c r="AL20" s="14">
        <f t="shared" si="2"/>
        <v>19</v>
      </c>
      <c r="AM20" s="14">
        <f t="shared" si="2"/>
        <v>294.98955999999998</v>
      </c>
    </row>
    <row r="21" spans="1:39" s="14" customFormat="1" ht="25.5" x14ac:dyDescent="0.2">
      <c r="A21" s="13" t="s">
        <v>36</v>
      </c>
      <c r="N21" s="14">
        <f t="shared" si="0"/>
        <v>0</v>
      </c>
      <c r="O21" s="14">
        <f t="shared" si="0"/>
        <v>0</v>
      </c>
      <c r="P21" s="15"/>
      <c r="Q21" s="15"/>
      <c r="R21" s="15">
        <f>98538-12</f>
        <v>98526</v>
      </c>
      <c r="S21" s="15">
        <f>32285.394-0.699*4</f>
        <v>32282.598000000002</v>
      </c>
      <c r="T21" s="15">
        <f>36345-5</f>
        <v>36340</v>
      </c>
      <c r="U21" s="15">
        <f>43435.965-3*1.288-2.576</f>
        <v>43429.524999999994</v>
      </c>
      <c r="V21" s="15">
        <f>15619-6</f>
        <v>15613</v>
      </c>
      <c r="W21" s="15">
        <f>12073.25-0.773*3-0.515-1.546</f>
        <v>12068.87</v>
      </c>
      <c r="X21" s="15">
        <f t="shared" si="1"/>
        <v>150479</v>
      </c>
      <c r="Y21" s="15">
        <f t="shared" si="1"/>
        <v>87780.992999999988</v>
      </c>
      <c r="Z21" s="15"/>
      <c r="AA21" s="15"/>
      <c r="AB21" s="14">
        <v>0</v>
      </c>
      <c r="AC21" s="14">
        <v>0</v>
      </c>
      <c r="AD21" s="15"/>
      <c r="AE21" s="15"/>
      <c r="AF21" s="15"/>
      <c r="AG21" s="15"/>
      <c r="AH21" s="15"/>
      <c r="AI21" s="15"/>
      <c r="AJ21" s="15"/>
      <c r="AK21" s="15"/>
      <c r="AL21" s="14">
        <f t="shared" si="2"/>
        <v>150479</v>
      </c>
      <c r="AM21" s="14">
        <f t="shared" si="2"/>
        <v>87780.992999999988</v>
      </c>
    </row>
    <row r="22" spans="1:39" s="14" customFormat="1" ht="51" x14ac:dyDescent="0.2">
      <c r="A22" s="13" t="s">
        <v>37</v>
      </c>
      <c r="N22" s="14">
        <f t="shared" si="0"/>
        <v>0</v>
      </c>
      <c r="O22" s="14">
        <f t="shared" si="0"/>
        <v>0</v>
      </c>
      <c r="P22" s="15"/>
      <c r="Q22" s="15"/>
      <c r="R22" s="15">
        <v>2191</v>
      </c>
      <c r="S22" s="15">
        <v>691.36999999999989</v>
      </c>
      <c r="T22" s="15">
        <v>754</v>
      </c>
      <c r="U22" s="15">
        <v>971.05100000000004</v>
      </c>
      <c r="V22" s="15">
        <v>533</v>
      </c>
      <c r="W22" s="15">
        <v>410.98050000000006</v>
      </c>
      <c r="X22" s="15">
        <f t="shared" si="1"/>
        <v>3478</v>
      </c>
      <c r="Y22" s="15">
        <f t="shared" si="1"/>
        <v>2073.4014999999999</v>
      </c>
      <c r="Z22" s="15"/>
      <c r="AA22" s="15"/>
      <c r="AB22" s="14">
        <v>0</v>
      </c>
      <c r="AC22" s="14">
        <v>0</v>
      </c>
      <c r="AD22" s="15"/>
      <c r="AE22" s="15"/>
      <c r="AF22" s="15"/>
      <c r="AG22" s="15"/>
      <c r="AH22" s="15"/>
      <c r="AI22" s="15"/>
      <c r="AJ22" s="15"/>
      <c r="AK22" s="15"/>
      <c r="AL22" s="14">
        <f t="shared" si="2"/>
        <v>3478</v>
      </c>
      <c r="AM22" s="14">
        <f t="shared" si="2"/>
        <v>2073.4014999999999</v>
      </c>
    </row>
    <row r="23" spans="1:39" s="14" customFormat="1" x14ac:dyDescent="0.2">
      <c r="A23" s="13" t="s">
        <v>38</v>
      </c>
      <c r="B23" s="14">
        <v>909</v>
      </c>
      <c r="C23" s="14">
        <v>174.52800000000002</v>
      </c>
      <c r="F23" s="14">
        <v>374</v>
      </c>
      <c r="G23" s="14">
        <v>1716.56223</v>
      </c>
      <c r="L23" s="14">
        <v>229</v>
      </c>
      <c r="M23" s="14">
        <v>12386.789510000001</v>
      </c>
      <c r="N23" s="14">
        <f t="shared" si="0"/>
        <v>1512</v>
      </c>
      <c r="O23" s="14">
        <f t="shared" si="0"/>
        <v>14277.87974</v>
      </c>
      <c r="P23" s="15"/>
      <c r="Q23" s="15"/>
      <c r="R23" s="15"/>
      <c r="S23" s="15"/>
      <c r="T23" s="15"/>
      <c r="U23" s="15"/>
      <c r="V23" s="15"/>
      <c r="W23" s="15"/>
      <c r="X23" s="15">
        <f t="shared" si="1"/>
        <v>0</v>
      </c>
      <c r="Y23" s="15">
        <f t="shared" si="1"/>
        <v>0</v>
      </c>
      <c r="Z23" s="15"/>
      <c r="AA23" s="15"/>
      <c r="AB23" s="14">
        <v>0</v>
      </c>
      <c r="AC23" s="14">
        <v>0</v>
      </c>
      <c r="AD23" s="15"/>
      <c r="AE23" s="15"/>
      <c r="AF23" s="15"/>
      <c r="AG23" s="15"/>
      <c r="AH23" s="15"/>
      <c r="AI23" s="15"/>
      <c r="AJ23" s="15">
        <v>2</v>
      </c>
      <c r="AK23" s="15">
        <v>15.9</v>
      </c>
      <c r="AL23" s="14">
        <f t="shared" si="2"/>
        <v>1514</v>
      </c>
      <c r="AM23" s="14">
        <f t="shared" si="2"/>
        <v>14293.77974</v>
      </c>
    </row>
    <row r="24" spans="1:39" s="14" customFormat="1" ht="25.5" x14ac:dyDescent="0.2">
      <c r="A24" s="13" t="s">
        <v>39</v>
      </c>
      <c r="F24" s="14">
        <v>2798</v>
      </c>
      <c r="G24" s="14">
        <v>1850.0060000000001</v>
      </c>
      <c r="N24" s="14">
        <f t="shared" si="0"/>
        <v>2798</v>
      </c>
      <c r="O24" s="14">
        <f t="shared" si="0"/>
        <v>1850.0060000000001</v>
      </c>
      <c r="P24" s="15">
        <f>15344-4</f>
        <v>15340</v>
      </c>
      <c r="Q24" s="15">
        <f>19366.39427-4.8166</f>
        <v>19361.577670000002</v>
      </c>
      <c r="R24" s="15"/>
      <c r="S24" s="15"/>
      <c r="T24" s="15"/>
      <c r="U24" s="15"/>
      <c r="V24" s="15"/>
      <c r="W24" s="15"/>
      <c r="X24" s="15">
        <f t="shared" si="1"/>
        <v>0</v>
      </c>
      <c r="Y24" s="15">
        <f t="shared" si="1"/>
        <v>0</v>
      </c>
      <c r="Z24" s="15"/>
      <c r="AA24" s="15"/>
      <c r="AB24" s="14">
        <v>0</v>
      </c>
      <c r="AC24" s="14">
        <v>0</v>
      </c>
      <c r="AD24" s="15"/>
      <c r="AE24" s="15"/>
      <c r="AF24" s="15"/>
      <c r="AG24" s="15"/>
      <c r="AH24" s="15"/>
      <c r="AI24" s="15"/>
      <c r="AJ24" s="15"/>
      <c r="AK24" s="15"/>
      <c r="AL24" s="14">
        <f t="shared" si="2"/>
        <v>18138</v>
      </c>
      <c r="AM24" s="14">
        <f t="shared" si="2"/>
        <v>21211.583670000004</v>
      </c>
    </row>
    <row r="25" spans="1:39" s="14" customFormat="1" ht="25.5" x14ac:dyDescent="0.2">
      <c r="A25" s="13" t="s">
        <v>40</v>
      </c>
      <c r="L25" s="14">
        <v>3</v>
      </c>
      <c r="M25" s="14">
        <v>79.066000000000003</v>
      </c>
      <c r="N25" s="14">
        <f t="shared" si="0"/>
        <v>3</v>
      </c>
      <c r="O25" s="14">
        <f t="shared" si="0"/>
        <v>79.066000000000003</v>
      </c>
      <c r="P25" s="15">
        <v>220</v>
      </c>
      <c r="Q25" s="15">
        <v>197.04999999999998</v>
      </c>
      <c r="R25" s="15"/>
      <c r="S25" s="15"/>
      <c r="T25" s="15"/>
      <c r="U25" s="15"/>
      <c r="V25" s="15"/>
      <c r="W25" s="15"/>
      <c r="X25" s="15">
        <f t="shared" si="1"/>
        <v>0</v>
      </c>
      <c r="Y25" s="15">
        <f t="shared" si="1"/>
        <v>0</v>
      </c>
      <c r="Z25" s="15">
        <v>282</v>
      </c>
      <c r="AA25" s="15">
        <v>3441.0850000000005</v>
      </c>
      <c r="AB25" s="14">
        <v>2298</v>
      </c>
      <c r="AC25" s="14">
        <v>8074.6449999999986</v>
      </c>
      <c r="AD25" s="15"/>
      <c r="AE25" s="15"/>
      <c r="AF25" s="15"/>
      <c r="AG25" s="15"/>
      <c r="AH25" s="16">
        <v>108</v>
      </c>
      <c r="AI25" s="16">
        <v>1175.1627000000001</v>
      </c>
      <c r="AJ25" s="16"/>
      <c r="AK25" s="15"/>
      <c r="AL25" s="14">
        <f t="shared" si="2"/>
        <v>2911</v>
      </c>
      <c r="AM25" s="14">
        <f t="shared" si="2"/>
        <v>12967.0087</v>
      </c>
    </row>
    <row r="26" spans="1:39" s="14" customFormat="1" x14ac:dyDescent="0.2">
      <c r="A26" s="13" t="s">
        <v>41</v>
      </c>
      <c r="N26" s="14">
        <f t="shared" si="0"/>
        <v>0</v>
      </c>
      <c r="O26" s="14">
        <f t="shared" si="0"/>
        <v>0</v>
      </c>
      <c r="P26" s="15"/>
      <c r="Q26" s="15"/>
      <c r="R26" s="15"/>
      <c r="S26" s="15"/>
      <c r="T26" s="15"/>
      <c r="U26" s="15"/>
      <c r="V26" s="15"/>
      <c r="W26" s="15"/>
      <c r="X26" s="15">
        <f t="shared" si="1"/>
        <v>0</v>
      </c>
      <c r="Y26" s="15">
        <f t="shared" si="1"/>
        <v>0</v>
      </c>
      <c r="Z26" s="15"/>
      <c r="AA26" s="15"/>
      <c r="AB26" s="14">
        <v>0</v>
      </c>
      <c r="AC26" s="14">
        <v>0</v>
      </c>
      <c r="AD26" s="15"/>
      <c r="AE26" s="15"/>
      <c r="AF26" s="15"/>
      <c r="AG26" s="15"/>
      <c r="AH26" s="15">
        <v>27</v>
      </c>
      <c r="AI26" s="15">
        <v>161.8749</v>
      </c>
      <c r="AJ26" s="15"/>
      <c r="AK26" s="15"/>
      <c r="AL26" s="14">
        <f t="shared" si="2"/>
        <v>27</v>
      </c>
      <c r="AM26" s="14">
        <f t="shared" si="2"/>
        <v>161.8749</v>
      </c>
    </row>
    <row r="27" spans="1:39" s="14" customFormat="1" ht="25.5" x14ac:dyDescent="0.2">
      <c r="A27" s="13" t="s">
        <v>42</v>
      </c>
      <c r="F27" s="14">
        <v>264</v>
      </c>
      <c r="G27" s="14">
        <v>3747.2529999999997</v>
      </c>
      <c r="N27" s="14">
        <f t="shared" si="0"/>
        <v>264</v>
      </c>
      <c r="O27" s="14">
        <f t="shared" si="0"/>
        <v>3747.2529999999997</v>
      </c>
      <c r="P27" s="15"/>
      <c r="Q27" s="15"/>
      <c r="R27" s="15"/>
      <c r="S27" s="15"/>
      <c r="T27" s="15"/>
      <c r="U27" s="15"/>
      <c r="V27" s="15"/>
      <c r="W27" s="15"/>
      <c r="X27" s="15">
        <f t="shared" si="1"/>
        <v>0</v>
      </c>
      <c r="Y27" s="15">
        <f t="shared" si="1"/>
        <v>0</v>
      </c>
      <c r="Z27" s="15"/>
      <c r="AA27" s="15"/>
      <c r="AB27" s="14">
        <v>93</v>
      </c>
      <c r="AC27" s="14">
        <v>910.005</v>
      </c>
      <c r="AD27" s="15"/>
      <c r="AE27" s="15"/>
      <c r="AF27" s="15"/>
      <c r="AG27" s="15"/>
      <c r="AH27" s="15"/>
      <c r="AI27" s="15"/>
      <c r="AJ27" s="15"/>
      <c r="AK27" s="15"/>
      <c r="AL27" s="14">
        <f t="shared" si="2"/>
        <v>357</v>
      </c>
      <c r="AM27" s="14">
        <f t="shared" si="2"/>
        <v>4657.2579999999998</v>
      </c>
    </row>
    <row r="28" spans="1:39" s="14" customFormat="1" x14ac:dyDescent="0.2">
      <c r="A28" s="13" t="s">
        <v>43</v>
      </c>
      <c r="B28" s="14">
        <v>4</v>
      </c>
      <c r="C28" s="14">
        <v>16.8</v>
      </c>
      <c r="D28" s="14">
        <v>49</v>
      </c>
      <c r="E28" s="14">
        <v>113.60000000000001</v>
      </c>
      <c r="F28" s="14">
        <v>2291</v>
      </c>
      <c r="G28" s="14">
        <v>6723.6068099999993</v>
      </c>
      <c r="H28" s="14">
        <v>313</v>
      </c>
      <c r="I28" s="14">
        <v>2047.1269999999997</v>
      </c>
      <c r="J28" s="14">
        <v>20</v>
      </c>
      <c r="K28" s="14">
        <v>457.62800000000004</v>
      </c>
      <c r="L28" s="14">
        <v>334</v>
      </c>
      <c r="M28" s="14">
        <v>14212.216</v>
      </c>
      <c r="N28" s="14">
        <f t="shared" si="0"/>
        <v>3011</v>
      </c>
      <c r="O28" s="14">
        <f t="shared" si="0"/>
        <v>23570.97781</v>
      </c>
      <c r="P28" s="15">
        <v>8746</v>
      </c>
      <c r="Q28" s="15">
        <v>11697.489000000001</v>
      </c>
      <c r="R28" s="15"/>
      <c r="S28" s="15"/>
      <c r="T28" s="15"/>
      <c r="U28" s="15"/>
      <c r="V28" s="15"/>
      <c r="W28" s="15"/>
      <c r="X28" s="15">
        <f t="shared" si="1"/>
        <v>0</v>
      </c>
      <c r="Y28" s="15">
        <f t="shared" si="1"/>
        <v>0</v>
      </c>
      <c r="Z28" s="15"/>
      <c r="AA28" s="15"/>
      <c r="AB28" s="14">
        <v>0</v>
      </c>
      <c r="AC28" s="14">
        <v>0</v>
      </c>
      <c r="AD28" s="15"/>
      <c r="AE28" s="15"/>
      <c r="AF28" s="15"/>
      <c r="AG28" s="15"/>
      <c r="AH28" s="15"/>
      <c r="AI28" s="15"/>
      <c r="AJ28" s="15">
        <v>82</v>
      </c>
      <c r="AK28" s="15">
        <v>925.56499999999994</v>
      </c>
      <c r="AL28" s="14">
        <f t="shared" si="2"/>
        <v>11839</v>
      </c>
      <c r="AM28" s="14">
        <f t="shared" si="2"/>
        <v>36194.03181</v>
      </c>
    </row>
    <row r="29" spans="1:39" s="14" customFormat="1" x14ac:dyDescent="0.2">
      <c r="A29" s="13" t="s">
        <v>44</v>
      </c>
      <c r="N29" s="14">
        <f t="shared" si="0"/>
        <v>0</v>
      </c>
      <c r="O29" s="14">
        <f t="shared" si="0"/>
        <v>0</v>
      </c>
      <c r="P29" s="15"/>
      <c r="Q29" s="15"/>
      <c r="R29" s="15"/>
      <c r="S29" s="15"/>
      <c r="T29" s="15"/>
      <c r="U29" s="15"/>
      <c r="V29" s="15"/>
      <c r="W29" s="15"/>
      <c r="X29" s="15">
        <f t="shared" si="1"/>
        <v>0</v>
      </c>
      <c r="Y29" s="15">
        <f t="shared" si="1"/>
        <v>0</v>
      </c>
      <c r="Z29" s="15"/>
      <c r="AA29" s="15"/>
      <c r="AB29" s="14">
        <v>1071</v>
      </c>
      <c r="AC29" s="14">
        <v>333.11500000000007</v>
      </c>
      <c r="AD29" s="15"/>
      <c r="AE29" s="15"/>
      <c r="AF29" s="15"/>
      <c r="AG29" s="15"/>
      <c r="AH29" s="15"/>
      <c r="AI29" s="15"/>
      <c r="AJ29" s="15"/>
      <c r="AK29" s="15"/>
      <c r="AL29" s="14">
        <f t="shared" si="2"/>
        <v>1071</v>
      </c>
      <c r="AM29" s="14">
        <f t="shared" si="2"/>
        <v>333.11500000000007</v>
      </c>
    </row>
    <row r="30" spans="1:39" s="14" customFormat="1" ht="25.5" x14ac:dyDescent="0.2">
      <c r="A30" s="13" t="s">
        <v>45</v>
      </c>
      <c r="B30" s="14">
        <v>140</v>
      </c>
      <c r="C30" s="14">
        <v>49.182000000000002</v>
      </c>
      <c r="L30" s="14">
        <v>243</v>
      </c>
      <c r="M30" s="14">
        <v>7813.4199100000005</v>
      </c>
      <c r="N30" s="14">
        <f t="shared" si="0"/>
        <v>383</v>
      </c>
      <c r="O30" s="14">
        <f t="shared" si="0"/>
        <v>7862.6019100000003</v>
      </c>
      <c r="P30" s="15"/>
      <c r="Q30" s="15"/>
      <c r="R30" s="15"/>
      <c r="S30" s="15"/>
      <c r="T30" s="15"/>
      <c r="U30" s="15"/>
      <c r="V30" s="15"/>
      <c r="W30" s="15"/>
      <c r="X30" s="15">
        <f t="shared" si="1"/>
        <v>0</v>
      </c>
      <c r="Y30" s="15">
        <f t="shared" si="1"/>
        <v>0</v>
      </c>
      <c r="Z30" s="15"/>
      <c r="AA30" s="15"/>
      <c r="AB30" s="14">
        <v>0</v>
      </c>
      <c r="AC30" s="14">
        <v>0</v>
      </c>
      <c r="AD30" s="15"/>
      <c r="AE30" s="15"/>
      <c r="AF30" s="15"/>
      <c r="AG30" s="15"/>
      <c r="AH30" s="15"/>
      <c r="AI30" s="15"/>
      <c r="AJ30" s="15">
        <v>40</v>
      </c>
      <c r="AK30" s="15">
        <v>375.56346000000002</v>
      </c>
      <c r="AL30" s="14">
        <f t="shared" si="2"/>
        <v>423</v>
      </c>
      <c r="AM30" s="14">
        <f t="shared" si="2"/>
        <v>8238.1653700000006</v>
      </c>
    </row>
    <row r="31" spans="1:39" s="14" customFormat="1" x14ac:dyDescent="0.2">
      <c r="A31" s="13" t="s">
        <v>46</v>
      </c>
      <c r="N31" s="14">
        <f t="shared" si="0"/>
        <v>0</v>
      </c>
      <c r="O31" s="14">
        <f t="shared" si="0"/>
        <v>0</v>
      </c>
      <c r="P31" s="15"/>
      <c r="Q31" s="15"/>
      <c r="R31" s="15"/>
      <c r="S31" s="15"/>
      <c r="T31" s="15"/>
      <c r="U31" s="15"/>
      <c r="V31" s="15"/>
      <c r="W31" s="15"/>
      <c r="X31" s="15">
        <f t="shared" si="1"/>
        <v>0</v>
      </c>
      <c r="Y31" s="15">
        <f t="shared" si="1"/>
        <v>0</v>
      </c>
      <c r="Z31" s="15">
        <v>1204</v>
      </c>
      <c r="AA31" s="15">
        <v>26487.892000000003</v>
      </c>
      <c r="AB31" s="14">
        <v>1427</v>
      </c>
      <c r="AC31" s="14">
        <v>4613.7440000000006</v>
      </c>
      <c r="AD31" s="15"/>
      <c r="AE31" s="15"/>
      <c r="AF31" s="15"/>
      <c r="AG31" s="15"/>
      <c r="AH31" s="15">
        <v>194</v>
      </c>
      <c r="AI31" s="15">
        <v>1425.65</v>
      </c>
      <c r="AJ31" s="15"/>
      <c r="AK31" s="15"/>
      <c r="AL31" s="14">
        <f t="shared" si="2"/>
        <v>2825</v>
      </c>
      <c r="AM31" s="14">
        <f t="shared" si="2"/>
        <v>32527.286000000007</v>
      </c>
    </row>
    <row r="32" spans="1:39" s="14" customFormat="1" ht="25.5" x14ac:dyDescent="0.2">
      <c r="A32" s="13" t="s">
        <v>47</v>
      </c>
      <c r="N32" s="14">
        <f t="shared" si="0"/>
        <v>0</v>
      </c>
      <c r="O32" s="14">
        <f t="shared" si="0"/>
        <v>0</v>
      </c>
      <c r="P32" s="15"/>
      <c r="Q32" s="15"/>
      <c r="R32" s="15"/>
      <c r="S32" s="15"/>
      <c r="T32" s="15"/>
      <c r="U32" s="15"/>
      <c r="V32" s="15"/>
      <c r="W32" s="15"/>
      <c r="X32" s="15">
        <f t="shared" si="1"/>
        <v>0</v>
      </c>
      <c r="Y32" s="15">
        <f t="shared" si="1"/>
        <v>0</v>
      </c>
      <c r="Z32" s="15"/>
      <c r="AA32" s="15"/>
      <c r="AB32" s="14">
        <v>212</v>
      </c>
      <c r="AC32" s="14">
        <v>2375.168000000001</v>
      </c>
      <c r="AD32" s="15"/>
      <c r="AE32" s="15"/>
      <c r="AF32" s="15"/>
      <c r="AG32" s="15"/>
      <c r="AH32" s="15"/>
      <c r="AI32" s="15"/>
      <c r="AJ32" s="15"/>
      <c r="AK32" s="15"/>
      <c r="AL32" s="14">
        <f t="shared" si="2"/>
        <v>212</v>
      </c>
      <c r="AM32" s="14">
        <f t="shared" si="2"/>
        <v>2375.168000000001</v>
      </c>
    </row>
    <row r="33" spans="1:39" s="14" customFormat="1" x14ac:dyDescent="0.2">
      <c r="A33" s="13" t="s">
        <v>48</v>
      </c>
      <c r="B33" s="14">
        <v>295</v>
      </c>
      <c r="C33" s="14">
        <v>36.912399999999998</v>
      </c>
      <c r="D33" s="14">
        <v>2</v>
      </c>
      <c r="E33" s="14">
        <v>6.1966099999999997</v>
      </c>
      <c r="F33" s="14">
        <v>38</v>
      </c>
      <c r="G33" s="14">
        <v>147.40451999999999</v>
      </c>
      <c r="H33" s="14">
        <v>59</v>
      </c>
      <c r="I33" s="14">
        <v>43.899449999999995</v>
      </c>
      <c r="J33" s="14">
        <v>2</v>
      </c>
      <c r="K33" s="14">
        <v>42.016249999999999</v>
      </c>
      <c r="L33" s="14">
        <v>120</v>
      </c>
      <c r="M33" s="14">
        <v>4059.9517700000001</v>
      </c>
      <c r="N33" s="14">
        <f t="shared" si="0"/>
        <v>516</v>
      </c>
      <c r="O33" s="14">
        <f t="shared" si="0"/>
        <v>4336.3810000000003</v>
      </c>
      <c r="P33" s="15"/>
      <c r="Q33" s="15"/>
      <c r="R33" s="15"/>
      <c r="S33" s="15"/>
      <c r="T33" s="15"/>
      <c r="U33" s="15"/>
      <c r="V33" s="15"/>
      <c r="W33" s="15"/>
      <c r="X33" s="15">
        <f t="shared" si="1"/>
        <v>0</v>
      </c>
      <c r="Y33" s="15">
        <f t="shared" si="1"/>
        <v>0</v>
      </c>
      <c r="Z33" s="15"/>
      <c r="AA33" s="15"/>
      <c r="AB33" s="14">
        <v>0</v>
      </c>
      <c r="AC33" s="14">
        <v>0</v>
      </c>
      <c r="AD33" s="15"/>
      <c r="AE33" s="15"/>
      <c r="AF33" s="15"/>
      <c r="AG33" s="15"/>
      <c r="AH33" s="15"/>
      <c r="AI33" s="15"/>
      <c r="AJ33" s="15">
        <v>22</v>
      </c>
      <c r="AK33" s="15">
        <v>212.64083999999997</v>
      </c>
      <c r="AL33" s="14">
        <f t="shared" si="2"/>
        <v>538</v>
      </c>
      <c r="AM33" s="14">
        <f t="shared" si="2"/>
        <v>4549.0218400000003</v>
      </c>
    </row>
    <row r="34" spans="1:39" s="14" customFormat="1" x14ac:dyDescent="0.2">
      <c r="A34" s="13" t="s">
        <v>49</v>
      </c>
      <c r="F34" s="14">
        <v>48</v>
      </c>
      <c r="G34" s="14">
        <v>148.34322999999998</v>
      </c>
      <c r="H34" s="14">
        <v>37</v>
      </c>
      <c r="I34" s="14">
        <v>184.06880000000001</v>
      </c>
      <c r="L34" s="14">
        <v>4</v>
      </c>
      <c r="M34" s="14">
        <v>261.39206999999999</v>
      </c>
      <c r="N34" s="14">
        <f t="shared" si="0"/>
        <v>89</v>
      </c>
      <c r="O34" s="14">
        <f t="shared" si="0"/>
        <v>593.80409999999995</v>
      </c>
      <c r="P34" s="15"/>
      <c r="Q34" s="15"/>
      <c r="R34" s="15"/>
      <c r="S34" s="15"/>
      <c r="T34" s="15"/>
      <c r="U34" s="15"/>
      <c r="V34" s="15"/>
      <c r="W34" s="15"/>
      <c r="X34" s="15">
        <f t="shared" si="1"/>
        <v>0</v>
      </c>
      <c r="Y34" s="15">
        <f t="shared" si="1"/>
        <v>0</v>
      </c>
      <c r="Z34" s="15"/>
      <c r="AA34" s="15"/>
      <c r="AB34" s="14">
        <v>0</v>
      </c>
      <c r="AC34" s="14">
        <v>0</v>
      </c>
      <c r="AD34" s="15"/>
      <c r="AE34" s="15"/>
      <c r="AF34" s="15"/>
      <c r="AG34" s="15"/>
      <c r="AH34" s="15"/>
      <c r="AI34" s="15"/>
      <c r="AJ34" s="15"/>
      <c r="AK34" s="15"/>
      <c r="AL34" s="14">
        <f t="shared" si="2"/>
        <v>89</v>
      </c>
      <c r="AM34" s="14">
        <f t="shared" si="2"/>
        <v>593.80409999999995</v>
      </c>
    </row>
    <row r="35" spans="1:39" s="14" customFormat="1" x14ac:dyDescent="0.2">
      <c r="A35" s="13" t="s">
        <v>50</v>
      </c>
      <c r="D35" s="14">
        <v>1</v>
      </c>
      <c r="E35" s="14">
        <v>2.5592099999999998</v>
      </c>
      <c r="F35" s="14">
        <v>10</v>
      </c>
      <c r="G35" s="14">
        <v>171.74561</v>
      </c>
      <c r="H35" s="14">
        <v>2</v>
      </c>
      <c r="I35" s="14">
        <v>7.5317599999999993</v>
      </c>
      <c r="N35" s="14">
        <f t="shared" si="0"/>
        <v>13</v>
      </c>
      <c r="O35" s="14">
        <f t="shared" si="0"/>
        <v>181.83658</v>
      </c>
      <c r="P35" s="15"/>
      <c r="Q35" s="15"/>
      <c r="R35" s="15"/>
      <c r="S35" s="15"/>
      <c r="T35" s="15"/>
      <c r="U35" s="15"/>
      <c r="V35" s="15"/>
      <c r="W35" s="15"/>
      <c r="X35" s="15">
        <f t="shared" si="1"/>
        <v>0</v>
      </c>
      <c r="Y35" s="15">
        <f t="shared" si="1"/>
        <v>0</v>
      </c>
      <c r="Z35" s="15"/>
      <c r="AA35" s="15"/>
      <c r="AB35" s="14">
        <v>0</v>
      </c>
      <c r="AC35" s="14">
        <v>0</v>
      </c>
      <c r="AD35" s="15"/>
      <c r="AE35" s="15"/>
      <c r="AF35" s="15"/>
      <c r="AG35" s="15"/>
      <c r="AH35" s="15"/>
      <c r="AI35" s="15"/>
      <c r="AJ35" s="15"/>
      <c r="AK35" s="15"/>
      <c r="AL35" s="14">
        <f t="shared" si="2"/>
        <v>13</v>
      </c>
      <c r="AM35" s="14">
        <f t="shared" si="2"/>
        <v>181.83658</v>
      </c>
    </row>
    <row r="36" spans="1:39" s="14" customFormat="1" ht="25.5" x14ac:dyDescent="0.2">
      <c r="A36" s="13" t="s">
        <v>51</v>
      </c>
      <c r="B36" s="14">
        <v>327</v>
      </c>
      <c r="C36" s="14">
        <v>122.12320000000003</v>
      </c>
      <c r="D36" s="14">
        <v>10</v>
      </c>
      <c r="E36" s="14">
        <v>42.990639999999999</v>
      </c>
      <c r="F36" s="14">
        <v>1711</v>
      </c>
      <c r="G36" s="14">
        <v>3013.2170600000004</v>
      </c>
      <c r="H36" s="14">
        <v>206</v>
      </c>
      <c r="I36" s="14">
        <v>588.35275000000013</v>
      </c>
      <c r="J36" s="14">
        <v>5</v>
      </c>
      <c r="K36" s="14">
        <v>175.18648999999999</v>
      </c>
      <c r="L36" s="14">
        <v>133</v>
      </c>
      <c r="M36" s="14">
        <v>4606.1850699999995</v>
      </c>
      <c r="N36" s="14">
        <f t="shared" si="0"/>
        <v>2392</v>
      </c>
      <c r="O36" s="14">
        <f t="shared" si="0"/>
        <v>8548.0552100000004</v>
      </c>
      <c r="P36" s="15">
        <v>1639</v>
      </c>
      <c r="Q36" s="15">
        <v>1824.0134700000003</v>
      </c>
      <c r="R36" s="15"/>
      <c r="S36" s="15"/>
      <c r="T36" s="15"/>
      <c r="U36" s="15"/>
      <c r="V36" s="15"/>
      <c r="W36" s="15"/>
      <c r="X36" s="15">
        <f t="shared" si="1"/>
        <v>0</v>
      </c>
      <c r="Y36" s="15">
        <f t="shared" si="1"/>
        <v>0</v>
      </c>
      <c r="Z36" s="15"/>
      <c r="AA36" s="15"/>
      <c r="AB36" s="14">
        <v>0</v>
      </c>
      <c r="AC36" s="14">
        <v>0</v>
      </c>
      <c r="AD36" s="15"/>
      <c r="AE36" s="15"/>
      <c r="AF36" s="15"/>
      <c r="AG36" s="15"/>
      <c r="AH36" s="15"/>
      <c r="AI36" s="15"/>
      <c r="AJ36" s="15">
        <v>51</v>
      </c>
      <c r="AK36" s="15">
        <v>550.27970000000005</v>
      </c>
      <c r="AL36" s="14">
        <f t="shared" si="2"/>
        <v>4082</v>
      </c>
      <c r="AM36" s="14">
        <f t="shared" si="2"/>
        <v>10922.348379999999</v>
      </c>
    </row>
    <row r="37" spans="1:39" s="14" customFormat="1" x14ac:dyDescent="0.2">
      <c r="A37" s="13" t="s">
        <v>52</v>
      </c>
      <c r="D37" s="14">
        <v>6</v>
      </c>
      <c r="E37" s="14">
        <v>16.4284</v>
      </c>
      <c r="F37" s="14">
        <v>196</v>
      </c>
      <c r="G37" s="14">
        <v>2363.8433000000005</v>
      </c>
      <c r="H37" s="14">
        <v>16</v>
      </c>
      <c r="I37" s="14">
        <v>117.4525</v>
      </c>
      <c r="N37" s="14">
        <f t="shared" si="0"/>
        <v>218</v>
      </c>
      <c r="O37" s="14">
        <f t="shared" si="0"/>
        <v>2497.7242000000001</v>
      </c>
      <c r="P37" s="15"/>
      <c r="Q37" s="15"/>
      <c r="R37" s="15"/>
      <c r="S37" s="15"/>
      <c r="T37" s="15"/>
      <c r="U37" s="15"/>
      <c r="V37" s="15"/>
      <c r="W37" s="15"/>
      <c r="X37" s="15">
        <f t="shared" si="1"/>
        <v>0</v>
      </c>
      <c r="Y37" s="15">
        <f t="shared" si="1"/>
        <v>0</v>
      </c>
      <c r="Z37" s="15"/>
      <c r="AA37" s="15"/>
      <c r="AB37" s="14">
        <v>0</v>
      </c>
      <c r="AC37" s="14">
        <v>0</v>
      </c>
      <c r="AD37" s="15"/>
      <c r="AE37" s="15"/>
      <c r="AF37" s="15"/>
      <c r="AG37" s="15"/>
      <c r="AH37" s="15"/>
      <c r="AI37" s="15"/>
      <c r="AJ37" s="15"/>
      <c r="AK37" s="15"/>
      <c r="AL37" s="14">
        <f t="shared" si="2"/>
        <v>218</v>
      </c>
      <c r="AM37" s="14">
        <f t="shared" si="2"/>
        <v>2497.7242000000001</v>
      </c>
    </row>
    <row r="38" spans="1:39" s="14" customFormat="1" x14ac:dyDescent="0.2">
      <c r="A38" s="13" t="s">
        <v>53</v>
      </c>
      <c r="F38" s="14">
        <v>7116</v>
      </c>
      <c r="G38" s="14">
        <v>4709.6889800000008</v>
      </c>
      <c r="N38" s="14">
        <f t="shared" si="0"/>
        <v>7116</v>
      </c>
      <c r="O38" s="14">
        <f t="shared" si="0"/>
        <v>4709.6889800000008</v>
      </c>
      <c r="P38" s="15">
        <f>15702-8</f>
        <v>15694</v>
      </c>
      <c r="Q38" s="15">
        <f>19684.27913-5.08416-5.07272</f>
        <v>19674.12225</v>
      </c>
      <c r="R38" s="15"/>
      <c r="S38" s="15"/>
      <c r="T38" s="15"/>
      <c r="U38" s="15"/>
      <c r="V38" s="15"/>
      <c r="W38" s="15"/>
      <c r="X38" s="15">
        <f t="shared" si="1"/>
        <v>0</v>
      </c>
      <c r="Y38" s="15">
        <f t="shared" si="1"/>
        <v>0</v>
      </c>
      <c r="Z38" s="15"/>
      <c r="AA38" s="15"/>
      <c r="AB38" s="14">
        <v>0</v>
      </c>
      <c r="AC38" s="14">
        <v>0</v>
      </c>
      <c r="AD38" s="15"/>
      <c r="AE38" s="15"/>
      <c r="AF38" s="15"/>
      <c r="AG38" s="15"/>
      <c r="AH38" s="15"/>
      <c r="AI38" s="15"/>
      <c r="AJ38" s="15"/>
      <c r="AK38" s="15"/>
      <c r="AL38" s="14">
        <f t="shared" si="2"/>
        <v>22810</v>
      </c>
      <c r="AM38" s="14">
        <f t="shared" si="2"/>
        <v>24383.811229999999</v>
      </c>
    </row>
    <row r="39" spans="1:39" s="14" customFormat="1" ht="25.5" x14ac:dyDescent="0.2">
      <c r="A39" s="13" t="s">
        <v>54</v>
      </c>
      <c r="H39" s="14">
        <v>76</v>
      </c>
      <c r="I39" s="14">
        <v>430.86023999999998</v>
      </c>
      <c r="N39" s="14">
        <f t="shared" si="0"/>
        <v>76</v>
      </c>
      <c r="O39" s="14">
        <f t="shared" si="0"/>
        <v>430.86023999999998</v>
      </c>
      <c r="P39" s="15"/>
      <c r="Q39" s="15"/>
      <c r="R39" s="15"/>
      <c r="S39" s="15"/>
      <c r="T39" s="15"/>
      <c r="U39" s="15"/>
      <c r="V39" s="15"/>
      <c r="W39" s="15"/>
      <c r="X39" s="15">
        <f t="shared" si="1"/>
        <v>0</v>
      </c>
      <c r="Y39" s="15">
        <f t="shared" si="1"/>
        <v>0</v>
      </c>
      <c r="Z39" s="15"/>
      <c r="AA39" s="15"/>
      <c r="AB39" s="14">
        <v>0</v>
      </c>
      <c r="AC39" s="14">
        <v>0</v>
      </c>
      <c r="AD39" s="15"/>
      <c r="AE39" s="15"/>
      <c r="AF39" s="15"/>
      <c r="AG39" s="15"/>
      <c r="AH39" s="15"/>
      <c r="AI39" s="15"/>
      <c r="AJ39" s="15"/>
      <c r="AK39" s="15"/>
      <c r="AL39" s="14">
        <f t="shared" si="2"/>
        <v>76</v>
      </c>
      <c r="AM39" s="14">
        <f t="shared" si="2"/>
        <v>430.86023999999998</v>
      </c>
    </row>
    <row r="40" spans="1:39" s="14" customFormat="1" ht="25.5" x14ac:dyDescent="0.2">
      <c r="A40" s="13" t="s">
        <v>55</v>
      </c>
      <c r="B40" s="14">
        <v>54</v>
      </c>
      <c r="C40" s="14">
        <v>12.072379999999999</v>
      </c>
      <c r="D40" s="14">
        <v>1</v>
      </c>
      <c r="E40" s="14">
        <v>1.91797</v>
      </c>
      <c r="F40" s="14">
        <v>103</v>
      </c>
      <c r="G40" s="14">
        <v>185.12011999999999</v>
      </c>
      <c r="H40" s="14">
        <v>18</v>
      </c>
      <c r="I40" s="14">
        <v>52.145479999999999</v>
      </c>
      <c r="J40" s="14">
        <v>4</v>
      </c>
      <c r="K40" s="14">
        <v>74.90740000000001</v>
      </c>
      <c r="L40" s="14">
        <v>25</v>
      </c>
      <c r="M40" s="14">
        <v>1191.1075099999998</v>
      </c>
      <c r="N40" s="14">
        <f t="shared" si="0"/>
        <v>205</v>
      </c>
      <c r="O40" s="14">
        <f t="shared" si="0"/>
        <v>1517.2708599999999</v>
      </c>
      <c r="P40" s="15">
        <v>268</v>
      </c>
      <c r="Q40" s="15">
        <v>223.09322</v>
      </c>
      <c r="R40" s="15"/>
      <c r="S40" s="15"/>
      <c r="T40" s="15"/>
      <c r="U40" s="15"/>
      <c r="V40" s="15"/>
      <c r="W40" s="15"/>
      <c r="X40" s="15">
        <f t="shared" si="1"/>
        <v>0</v>
      </c>
      <c r="Y40" s="15">
        <f t="shared" si="1"/>
        <v>0</v>
      </c>
      <c r="Z40" s="15"/>
      <c r="AA40" s="15"/>
      <c r="AB40" s="14">
        <v>0</v>
      </c>
      <c r="AC40" s="14">
        <v>0</v>
      </c>
      <c r="AD40" s="15"/>
      <c r="AE40" s="15"/>
      <c r="AF40" s="15"/>
      <c r="AG40" s="15"/>
      <c r="AH40" s="15"/>
      <c r="AI40" s="15"/>
      <c r="AJ40" s="15">
        <v>11</v>
      </c>
      <c r="AK40" s="15">
        <v>143.50055</v>
      </c>
      <c r="AL40" s="14">
        <f t="shared" si="2"/>
        <v>484</v>
      </c>
      <c r="AM40" s="14">
        <f t="shared" si="2"/>
        <v>1883.8646299999998</v>
      </c>
    </row>
    <row r="41" spans="1:39" s="14" customFormat="1" ht="25.5" x14ac:dyDescent="0.2">
      <c r="A41" s="13" t="s">
        <v>56</v>
      </c>
      <c r="B41" s="14">
        <v>564</v>
      </c>
      <c r="C41" s="14">
        <v>281.86099999999999</v>
      </c>
      <c r="D41" s="14">
        <v>28</v>
      </c>
      <c r="E41" s="14">
        <v>66.619489999999999</v>
      </c>
      <c r="F41" s="14">
        <v>783</v>
      </c>
      <c r="G41" s="14">
        <v>2481.0441999999998</v>
      </c>
      <c r="H41" s="14">
        <v>572</v>
      </c>
      <c r="I41" s="14">
        <v>566.55086999999992</v>
      </c>
      <c r="J41" s="14">
        <v>2</v>
      </c>
      <c r="K41" s="14">
        <v>36.73462</v>
      </c>
      <c r="L41" s="14">
        <v>953</v>
      </c>
      <c r="M41" s="14">
        <v>36931.102159999995</v>
      </c>
      <c r="N41" s="14">
        <f t="shared" si="0"/>
        <v>2902</v>
      </c>
      <c r="O41" s="14">
        <f t="shared" si="0"/>
        <v>40363.912339999995</v>
      </c>
      <c r="P41" s="15">
        <v>37487</v>
      </c>
      <c r="Q41" s="15">
        <v>48013.31642000001</v>
      </c>
      <c r="R41" s="15"/>
      <c r="S41" s="15"/>
      <c r="T41" s="15"/>
      <c r="U41" s="15"/>
      <c r="V41" s="15"/>
      <c r="W41" s="15"/>
      <c r="X41" s="15">
        <f t="shared" si="1"/>
        <v>0</v>
      </c>
      <c r="Y41" s="15">
        <f t="shared" si="1"/>
        <v>0</v>
      </c>
      <c r="Z41" s="15">
        <v>7129</v>
      </c>
      <c r="AA41" s="15">
        <v>145325.97200000001</v>
      </c>
      <c r="AB41" s="14">
        <v>0</v>
      </c>
      <c r="AC41" s="14">
        <v>0</v>
      </c>
      <c r="AD41" s="15"/>
      <c r="AE41" s="15"/>
      <c r="AF41" s="15"/>
      <c r="AG41" s="15"/>
      <c r="AH41" s="15"/>
      <c r="AI41" s="15"/>
      <c r="AJ41" s="15">
        <v>37</v>
      </c>
      <c r="AK41" s="15">
        <v>469.58539000000002</v>
      </c>
      <c r="AL41" s="14">
        <f t="shared" si="2"/>
        <v>47555</v>
      </c>
      <c r="AM41" s="14">
        <f t="shared" si="2"/>
        <v>234172.78615</v>
      </c>
    </row>
    <row r="42" spans="1:39" s="14" customFormat="1" x14ac:dyDescent="0.2">
      <c r="A42" s="13" t="s">
        <v>57</v>
      </c>
      <c r="B42" s="14">
        <v>2</v>
      </c>
      <c r="C42" s="14">
        <v>0.78</v>
      </c>
      <c r="F42" s="14">
        <v>517</v>
      </c>
      <c r="G42" s="14">
        <v>710.08144000000004</v>
      </c>
      <c r="H42" s="14">
        <v>77</v>
      </c>
      <c r="I42" s="14">
        <v>80.402619999999999</v>
      </c>
      <c r="L42" s="14">
        <v>17</v>
      </c>
      <c r="M42" s="14">
        <v>818.80855999999994</v>
      </c>
      <c r="N42" s="14">
        <f t="shared" si="0"/>
        <v>613</v>
      </c>
      <c r="O42" s="14">
        <f t="shared" si="0"/>
        <v>1610.0726199999999</v>
      </c>
      <c r="P42" s="15">
        <v>5144</v>
      </c>
      <c r="Q42" s="15">
        <v>5464.5046300000004</v>
      </c>
      <c r="R42" s="15"/>
      <c r="S42" s="15"/>
      <c r="T42" s="15"/>
      <c r="U42" s="15"/>
      <c r="V42" s="15"/>
      <c r="W42" s="15"/>
      <c r="X42" s="15">
        <f t="shared" si="1"/>
        <v>0</v>
      </c>
      <c r="Y42" s="15">
        <f t="shared" si="1"/>
        <v>0</v>
      </c>
      <c r="Z42" s="15"/>
      <c r="AA42" s="15"/>
      <c r="AB42" s="14">
        <v>0</v>
      </c>
      <c r="AC42" s="14">
        <v>0</v>
      </c>
      <c r="AD42" s="15"/>
      <c r="AE42" s="15"/>
      <c r="AF42" s="15"/>
      <c r="AG42" s="15"/>
      <c r="AH42" s="15"/>
      <c r="AI42" s="15"/>
      <c r="AJ42" s="15"/>
      <c r="AK42" s="15"/>
      <c r="AL42" s="14">
        <f t="shared" si="2"/>
        <v>5757</v>
      </c>
      <c r="AM42" s="14">
        <f t="shared" si="2"/>
        <v>7074.5772500000003</v>
      </c>
    </row>
    <row r="43" spans="1:39" s="14" customFormat="1" ht="25.5" x14ac:dyDescent="0.2">
      <c r="A43" s="13" t="s">
        <v>58</v>
      </c>
      <c r="B43" s="14">
        <v>69</v>
      </c>
      <c r="C43" s="14">
        <v>17.202079999999999</v>
      </c>
      <c r="F43" s="14">
        <v>1053</v>
      </c>
      <c r="G43" s="14">
        <v>4202.8409500000007</v>
      </c>
      <c r="H43" s="14">
        <v>110</v>
      </c>
      <c r="I43" s="14">
        <v>111.02405</v>
      </c>
      <c r="L43" s="14">
        <v>33</v>
      </c>
      <c r="M43" s="14">
        <v>1357.8437199999998</v>
      </c>
      <c r="N43" s="14">
        <f t="shared" si="0"/>
        <v>1265</v>
      </c>
      <c r="O43" s="14">
        <f t="shared" si="0"/>
        <v>5688.9108000000006</v>
      </c>
      <c r="P43" s="15">
        <v>1690</v>
      </c>
      <c r="Q43" s="15">
        <v>2181.04351</v>
      </c>
      <c r="R43" s="15"/>
      <c r="S43" s="15"/>
      <c r="T43" s="15"/>
      <c r="U43" s="15"/>
      <c r="V43" s="15"/>
      <c r="W43" s="15"/>
      <c r="X43" s="15">
        <f t="shared" si="1"/>
        <v>0</v>
      </c>
      <c r="Y43" s="15">
        <f t="shared" si="1"/>
        <v>0</v>
      </c>
      <c r="Z43" s="15"/>
      <c r="AA43" s="15"/>
      <c r="AB43" s="14">
        <v>0</v>
      </c>
      <c r="AC43" s="14">
        <v>0</v>
      </c>
      <c r="AD43" s="15"/>
      <c r="AE43" s="15"/>
      <c r="AF43" s="15"/>
      <c r="AG43" s="15"/>
      <c r="AH43" s="15">
        <v>92</v>
      </c>
      <c r="AI43" s="15">
        <v>554.72112000000004</v>
      </c>
      <c r="AJ43" s="15"/>
      <c r="AK43" s="15"/>
      <c r="AL43" s="14">
        <f t="shared" si="2"/>
        <v>3047</v>
      </c>
      <c r="AM43" s="14">
        <f t="shared" si="2"/>
        <v>8424.6754300000011</v>
      </c>
    </row>
    <row r="44" spans="1:39" s="14" customFormat="1" ht="51" x14ac:dyDescent="0.2">
      <c r="A44" s="13" t="s">
        <v>59</v>
      </c>
      <c r="B44" s="14">
        <v>11</v>
      </c>
      <c r="C44" s="14">
        <v>7.9416899999999995</v>
      </c>
      <c r="F44" s="14">
        <v>90</v>
      </c>
      <c r="G44" s="14">
        <v>50.1004</v>
      </c>
      <c r="L44" s="14">
        <v>11</v>
      </c>
      <c r="M44" s="14">
        <v>1562.8519100000001</v>
      </c>
      <c r="N44" s="14">
        <f t="shared" si="0"/>
        <v>112</v>
      </c>
      <c r="O44" s="14">
        <f t="shared" si="0"/>
        <v>1620.894</v>
      </c>
      <c r="P44" s="15"/>
      <c r="Q44" s="15"/>
      <c r="R44" s="15"/>
      <c r="S44" s="15"/>
      <c r="T44" s="15"/>
      <c r="U44" s="15"/>
      <c r="V44" s="15"/>
      <c r="W44" s="15"/>
      <c r="X44" s="15">
        <f t="shared" si="1"/>
        <v>0</v>
      </c>
      <c r="Y44" s="15">
        <f t="shared" si="1"/>
        <v>0</v>
      </c>
      <c r="Z44" s="15"/>
      <c r="AA44" s="15"/>
      <c r="AB44" s="14">
        <v>0</v>
      </c>
      <c r="AC44" s="14">
        <v>0</v>
      </c>
      <c r="AD44" s="15"/>
      <c r="AE44" s="15"/>
      <c r="AF44" s="15"/>
      <c r="AG44" s="15"/>
      <c r="AH44" s="15"/>
      <c r="AI44" s="15"/>
      <c r="AJ44" s="15">
        <v>1</v>
      </c>
      <c r="AK44" s="15">
        <v>4.1892100000000001</v>
      </c>
      <c r="AL44" s="14">
        <f t="shared" si="2"/>
        <v>113</v>
      </c>
      <c r="AM44" s="14">
        <f t="shared" si="2"/>
        <v>1625.08321</v>
      </c>
    </row>
    <row r="45" spans="1:39" s="14" customFormat="1" x14ac:dyDescent="0.2">
      <c r="A45" s="13" t="s">
        <v>60</v>
      </c>
      <c r="F45" s="14">
        <v>8</v>
      </c>
      <c r="G45" s="14">
        <v>32.333579999999998</v>
      </c>
      <c r="H45" s="14">
        <v>12</v>
      </c>
      <c r="I45" s="14">
        <v>18.933400000000002</v>
      </c>
      <c r="L45" s="14">
        <v>9</v>
      </c>
      <c r="M45" s="14">
        <v>594.20131000000003</v>
      </c>
      <c r="N45" s="14">
        <f t="shared" si="0"/>
        <v>29</v>
      </c>
      <c r="O45" s="14">
        <f t="shared" si="0"/>
        <v>645.46829000000002</v>
      </c>
      <c r="P45" s="15">
        <v>20</v>
      </c>
      <c r="Q45" s="15">
        <v>22.358000000000001</v>
      </c>
      <c r="R45" s="15"/>
      <c r="S45" s="15"/>
      <c r="T45" s="15"/>
      <c r="U45" s="15"/>
      <c r="V45" s="15"/>
      <c r="W45" s="15"/>
      <c r="X45" s="15">
        <f t="shared" si="1"/>
        <v>0</v>
      </c>
      <c r="Y45" s="15">
        <f t="shared" si="1"/>
        <v>0</v>
      </c>
      <c r="Z45" s="15"/>
      <c r="AA45" s="15"/>
      <c r="AB45" s="14">
        <v>0</v>
      </c>
      <c r="AC45" s="14">
        <v>0</v>
      </c>
      <c r="AD45" s="15"/>
      <c r="AE45" s="15"/>
      <c r="AF45" s="15"/>
      <c r="AG45" s="15"/>
      <c r="AH45" s="15">
        <v>7</v>
      </c>
      <c r="AI45" s="15">
        <v>96.5</v>
      </c>
      <c r="AJ45" s="15"/>
      <c r="AK45" s="15"/>
      <c r="AL45" s="14">
        <f t="shared" si="2"/>
        <v>56</v>
      </c>
      <c r="AM45" s="14">
        <f t="shared" si="2"/>
        <v>764.32628999999997</v>
      </c>
    </row>
    <row r="46" spans="1:39" s="14" customFormat="1" x14ac:dyDescent="0.2">
      <c r="A46" s="13" t="s">
        <v>61</v>
      </c>
      <c r="F46" s="14">
        <v>39405</v>
      </c>
      <c r="G46" s="14">
        <v>26085.949999999997</v>
      </c>
      <c r="N46" s="14">
        <f t="shared" si="0"/>
        <v>39405</v>
      </c>
      <c r="O46" s="14">
        <f t="shared" si="0"/>
        <v>26085.949999999997</v>
      </c>
      <c r="P46" s="15">
        <v>2</v>
      </c>
      <c r="Q46" s="15">
        <v>2.5289999999999999</v>
      </c>
      <c r="R46" s="15"/>
      <c r="S46" s="15"/>
      <c r="T46" s="15"/>
      <c r="U46" s="15"/>
      <c r="V46" s="15"/>
      <c r="W46" s="15"/>
      <c r="X46" s="15">
        <f t="shared" si="1"/>
        <v>0</v>
      </c>
      <c r="Y46" s="15">
        <f t="shared" si="1"/>
        <v>0</v>
      </c>
      <c r="Z46" s="15"/>
      <c r="AA46" s="15"/>
      <c r="AB46" s="14">
        <v>0</v>
      </c>
      <c r="AC46" s="14">
        <v>0</v>
      </c>
      <c r="AD46" s="15"/>
      <c r="AE46" s="15"/>
      <c r="AF46" s="15"/>
      <c r="AG46" s="15"/>
      <c r="AH46" s="15"/>
      <c r="AI46" s="15"/>
      <c r="AJ46" s="15"/>
      <c r="AK46" s="15"/>
      <c r="AL46" s="14">
        <f t="shared" si="2"/>
        <v>39407</v>
      </c>
      <c r="AM46" s="14">
        <f t="shared" si="2"/>
        <v>26088.478999999996</v>
      </c>
    </row>
    <row r="47" spans="1:39" s="14" customFormat="1" x14ac:dyDescent="0.2">
      <c r="A47" s="13" t="s">
        <v>62</v>
      </c>
      <c r="B47" s="14">
        <v>248</v>
      </c>
      <c r="C47" s="14">
        <v>98.6678</v>
      </c>
      <c r="F47" s="14">
        <v>2</v>
      </c>
      <c r="G47" s="14">
        <v>32.382719999999999</v>
      </c>
      <c r="L47" s="14">
        <v>52</v>
      </c>
      <c r="M47" s="14">
        <v>3708.3613499999997</v>
      </c>
      <c r="N47" s="14">
        <f t="shared" si="0"/>
        <v>302</v>
      </c>
      <c r="O47" s="14">
        <f t="shared" si="0"/>
        <v>3839.4118699999999</v>
      </c>
      <c r="P47" s="15"/>
      <c r="Q47" s="15"/>
      <c r="R47" s="15"/>
      <c r="S47" s="15"/>
      <c r="T47" s="15"/>
      <c r="U47" s="15"/>
      <c r="V47" s="15"/>
      <c r="W47" s="15"/>
      <c r="X47" s="15">
        <f t="shared" si="1"/>
        <v>0</v>
      </c>
      <c r="Y47" s="15">
        <f t="shared" si="1"/>
        <v>0</v>
      </c>
      <c r="Z47" s="15"/>
      <c r="AA47" s="15"/>
      <c r="AB47" s="14">
        <v>0</v>
      </c>
      <c r="AC47" s="14">
        <v>0</v>
      </c>
      <c r="AD47" s="15"/>
      <c r="AE47" s="15"/>
      <c r="AF47" s="15"/>
      <c r="AG47" s="15"/>
      <c r="AH47" s="15"/>
      <c r="AI47" s="15"/>
      <c r="AJ47" s="15">
        <v>24</v>
      </c>
      <c r="AK47" s="15">
        <v>248.54184000000001</v>
      </c>
      <c r="AL47" s="14">
        <f t="shared" si="2"/>
        <v>326</v>
      </c>
      <c r="AM47" s="14">
        <f t="shared" si="2"/>
        <v>4087.9537099999998</v>
      </c>
    </row>
    <row r="48" spans="1:39" s="14" customFormat="1" x14ac:dyDescent="0.2">
      <c r="A48" s="13" t="s">
        <v>63</v>
      </c>
      <c r="N48" s="14">
        <f t="shared" si="0"/>
        <v>0</v>
      </c>
      <c r="O48" s="14">
        <f t="shared" si="0"/>
        <v>0</v>
      </c>
      <c r="P48" s="15"/>
      <c r="Q48" s="15"/>
      <c r="R48" s="15"/>
      <c r="S48" s="15"/>
      <c r="T48" s="15"/>
      <c r="U48" s="15"/>
      <c r="V48" s="15"/>
      <c r="W48" s="15"/>
      <c r="X48" s="15">
        <f t="shared" si="1"/>
        <v>0</v>
      </c>
      <c r="Y48" s="15">
        <f t="shared" si="1"/>
        <v>0</v>
      </c>
      <c r="Z48" s="15">
        <v>1438</v>
      </c>
      <c r="AA48" s="15">
        <v>24732.590339999999</v>
      </c>
      <c r="AB48" s="14">
        <v>255</v>
      </c>
      <c r="AC48" s="14">
        <v>1050.4260000000002</v>
      </c>
      <c r="AD48" s="15"/>
      <c r="AE48" s="15"/>
      <c r="AF48" s="15"/>
      <c r="AG48" s="15"/>
      <c r="AH48" s="15"/>
      <c r="AI48" s="15"/>
      <c r="AJ48" s="15"/>
      <c r="AK48" s="15"/>
      <c r="AL48" s="14">
        <f t="shared" si="2"/>
        <v>1693</v>
      </c>
      <c r="AM48" s="14">
        <f t="shared" si="2"/>
        <v>25783.016339999998</v>
      </c>
    </row>
    <row r="49" spans="1:39" s="14" customFormat="1" x14ac:dyDescent="0.2">
      <c r="A49" s="13" t="s">
        <v>64</v>
      </c>
      <c r="N49" s="14">
        <f t="shared" si="0"/>
        <v>0</v>
      </c>
      <c r="O49" s="14">
        <f t="shared" si="0"/>
        <v>0</v>
      </c>
      <c r="P49" s="15"/>
      <c r="Q49" s="15"/>
      <c r="R49" s="15"/>
      <c r="S49" s="15"/>
      <c r="T49" s="15"/>
      <c r="U49" s="15"/>
      <c r="V49" s="15"/>
      <c r="W49" s="15"/>
      <c r="X49" s="15">
        <f t="shared" si="1"/>
        <v>0</v>
      </c>
      <c r="Y49" s="15">
        <f t="shared" si="1"/>
        <v>0</v>
      </c>
      <c r="Z49" s="15">
        <v>2253</v>
      </c>
      <c r="AA49" s="15">
        <v>32959.577999999994</v>
      </c>
      <c r="AB49" s="14">
        <v>13442</v>
      </c>
      <c r="AC49" s="14">
        <v>18042.447000000004</v>
      </c>
      <c r="AD49" s="15"/>
      <c r="AE49" s="15"/>
      <c r="AF49" s="15"/>
      <c r="AG49" s="15"/>
      <c r="AH49" s="15"/>
      <c r="AI49" s="15"/>
      <c r="AJ49" s="15"/>
      <c r="AK49" s="15"/>
      <c r="AL49" s="14">
        <f t="shared" si="2"/>
        <v>15695</v>
      </c>
      <c r="AM49" s="14">
        <f t="shared" si="2"/>
        <v>51002.024999999994</v>
      </c>
    </row>
    <row r="50" spans="1:39" s="14" customFormat="1" x14ac:dyDescent="0.2">
      <c r="A50" s="13" t="s">
        <v>65</v>
      </c>
      <c r="H50" s="14">
        <v>258</v>
      </c>
      <c r="I50" s="14">
        <v>1746.6149999999996</v>
      </c>
      <c r="N50" s="14">
        <f t="shared" si="0"/>
        <v>258</v>
      </c>
      <c r="O50" s="14">
        <f t="shared" si="0"/>
        <v>1746.6149999999996</v>
      </c>
      <c r="P50" s="15"/>
      <c r="Q50" s="15"/>
      <c r="R50" s="15"/>
      <c r="S50" s="15"/>
      <c r="T50" s="15"/>
      <c r="U50" s="15"/>
      <c r="V50" s="15"/>
      <c r="W50" s="15"/>
      <c r="X50" s="15">
        <f t="shared" si="1"/>
        <v>0</v>
      </c>
      <c r="Y50" s="15">
        <f t="shared" si="1"/>
        <v>0</v>
      </c>
      <c r="Z50" s="15"/>
      <c r="AA50" s="15"/>
      <c r="AB50" s="14">
        <v>0</v>
      </c>
      <c r="AC50" s="14">
        <v>0</v>
      </c>
      <c r="AD50" s="15"/>
      <c r="AE50" s="15"/>
      <c r="AF50" s="15"/>
      <c r="AG50" s="15"/>
      <c r="AH50" s="15"/>
      <c r="AI50" s="15"/>
      <c r="AJ50" s="15"/>
      <c r="AK50" s="15"/>
      <c r="AL50" s="14">
        <f t="shared" si="2"/>
        <v>258</v>
      </c>
      <c r="AM50" s="14">
        <f t="shared" si="2"/>
        <v>1746.6149999999996</v>
      </c>
    </row>
    <row r="51" spans="1:39" s="14" customFormat="1" x14ac:dyDescent="0.2">
      <c r="A51" s="13" t="s">
        <v>66</v>
      </c>
      <c r="N51" s="14">
        <f t="shared" si="0"/>
        <v>0</v>
      </c>
      <c r="O51" s="14">
        <f t="shared" si="0"/>
        <v>0</v>
      </c>
      <c r="P51" s="15"/>
      <c r="Q51" s="15"/>
      <c r="R51" s="15"/>
      <c r="S51" s="15"/>
      <c r="T51" s="15"/>
      <c r="U51" s="15"/>
      <c r="V51" s="15"/>
      <c r="W51" s="15"/>
      <c r="X51" s="15">
        <f t="shared" si="1"/>
        <v>0</v>
      </c>
      <c r="Y51" s="15">
        <f t="shared" si="1"/>
        <v>0</v>
      </c>
      <c r="Z51" s="15"/>
      <c r="AA51" s="15"/>
      <c r="AB51" s="14">
        <f>7352-1</f>
        <v>7351</v>
      </c>
      <c r="AC51" s="14">
        <f>14699.137-1.795</f>
        <v>14697.342000000001</v>
      </c>
      <c r="AD51" s="15"/>
      <c r="AE51" s="15"/>
      <c r="AF51" s="15">
        <v>31</v>
      </c>
      <c r="AG51" s="15">
        <v>146.92326000000003</v>
      </c>
      <c r="AH51" s="15"/>
      <c r="AI51" s="15"/>
      <c r="AJ51" s="15"/>
      <c r="AK51" s="15"/>
      <c r="AL51" s="14">
        <f t="shared" si="2"/>
        <v>7382</v>
      </c>
      <c r="AM51" s="14">
        <f t="shared" si="2"/>
        <v>14844.26526</v>
      </c>
    </row>
    <row r="52" spans="1:39" s="14" customFormat="1" x14ac:dyDescent="0.2">
      <c r="A52" s="13" t="s">
        <v>67</v>
      </c>
      <c r="D52" s="14">
        <v>33</v>
      </c>
      <c r="E52" s="14">
        <v>161.13747999999998</v>
      </c>
      <c r="F52" s="14">
        <v>1438</v>
      </c>
      <c r="G52" s="14">
        <v>8397.0460199999998</v>
      </c>
      <c r="H52" s="14">
        <v>248</v>
      </c>
      <c r="I52" s="14">
        <v>1482.1414</v>
      </c>
      <c r="N52" s="14">
        <f t="shared" si="0"/>
        <v>1719</v>
      </c>
      <c r="O52" s="14">
        <f t="shared" si="0"/>
        <v>10040.3249</v>
      </c>
      <c r="P52" s="15"/>
      <c r="Q52" s="15"/>
      <c r="R52" s="15"/>
      <c r="S52" s="15"/>
      <c r="T52" s="15"/>
      <c r="U52" s="15"/>
      <c r="V52" s="15"/>
      <c r="W52" s="15"/>
      <c r="X52" s="15">
        <f t="shared" si="1"/>
        <v>0</v>
      </c>
      <c r="Y52" s="15">
        <f t="shared" si="1"/>
        <v>0</v>
      </c>
      <c r="Z52" s="15"/>
      <c r="AA52" s="15"/>
      <c r="AB52" s="14">
        <v>0</v>
      </c>
      <c r="AC52" s="14">
        <v>0</v>
      </c>
      <c r="AD52" s="15"/>
      <c r="AE52" s="15"/>
      <c r="AF52" s="15"/>
      <c r="AG52" s="15"/>
      <c r="AH52" s="15"/>
      <c r="AI52" s="15"/>
      <c r="AJ52" s="15"/>
      <c r="AK52" s="15"/>
      <c r="AL52" s="14">
        <f t="shared" si="2"/>
        <v>1719</v>
      </c>
      <c r="AM52" s="14">
        <f t="shared" si="2"/>
        <v>10040.3249</v>
      </c>
    </row>
    <row r="53" spans="1:39" s="14" customFormat="1" x14ac:dyDescent="0.2">
      <c r="A53" s="13" t="s">
        <v>68</v>
      </c>
      <c r="N53" s="14">
        <f t="shared" si="0"/>
        <v>0</v>
      </c>
      <c r="O53" s="14">
        <f t="shared" si="0"/>
        <v>0</v>
      </c>
      <c r="P53" s="15"/>
      <c r="Q53" s="15"/>
      <c r="R53" s="15"/>
      <c r="S53" s="15"/>
      <c r="T53" s="15"/>
      <c r="U53" s="15"/>
      <c r="V53" s="15"/>
      <c r="W53" s="15"/>
      <c r="X53" s="15">
        <f t="shared" si="1"/>
        <v>0</v>
      </c>
      <c r="Y53" s="15">
        <f t="shared" si="1"/>
        <v>0</v>
      </c>
      <c r="Z53" s="15">
        <v>2529</v>
      </c>
      <c r="AA53" s="15">
        <v>45767.08600000001</v>
      </c>
      <c r="AB53" s="14">
        <v>419</v>
      </c>
      <c r="AC53" s="14">
        <v>1578.3110000000001</v>
      </c>
      <c r="AD53" s="15"/>
      <c r="AE53" s="15"/>
      <c r="AF53" s="15"/>
      <c r="AG53" s="15"/>
      <c r="AH53" s="15">
        <v>2</v>
      </c>
      <c r="AI53" s="15">
        <v>15</v>
      </c>
      <c r="AJ53" s="15"/>
      <c r="AK53" s="15"/>
      <c r="AL53" s="14">
        <f t="shared" si="2"/>
        <v>2950</v>
      </c>
      <c r="AM53" s="14">
        <f t="shared" si="2"/>
        <v>47360.397000000012</v>
      </c>
    </row>
    <row r="54" spans="1:39" s="14" customFormat="1" x14ac:dyDescent="0.2">
      <c r="A54" s="13" t="s">
        <v>69</v>
      </c>
      <c r="B54" s="14">
        <v>51</v>
      </c>
      <c r="C54" s="14">
        <v>161.86122</v>
      </c>
      <c r="J54" s="14">
        <v>3</v>
      </c>
      <c r="K54" s="14">
        <v>107.95258</v>
      </c>
      <c r="L54" s="14">
        <v>40</v>
      </c>
      <c r="M54" s="14">
        <v>2118.4600799999998</v>
      </c>
      <c r="N54" s="14">
        <f t="shared" si="0"/>
        <v>94</v>
      </c>
      <c r="O54" s="14">
        <f t="shared" si="0"/>
        <v>2388.2738799999997</v>
      </c>
      <c r="P54" s="15"/>
      <c r="Q54" s="15"/>
      <c r="R54" s="15"/>
      <c r="S54" s="15"/>
      <c r="T54" s="15"/>
      <c r="U54" s="15"/>
      <c r="V54" s="15"/>
      <c r="W54" s="15"/>
      <c r="X54" s="15">
        <f t="shared" si="1"/>
        <v>0</v>
      </c>
      <c r="Y54" s="15">
        <f t="shared" si="1"/>
        <v>0</v>
      </c>
      <c r="Z54" s="15"/>
      <c r="AA54" s="15"/>
      <c r="AB54" s="14">
        <v>0</v>
      </c>
      <c r="AC54" s="14">
        <v>0</v>
      </c>
      <c r="AD54" s="15"/>
      <c r="AE54" s="15"/>
      <c r="AF54" s="15"/>
      <c r="AG54" s="15"/>
      <c r="AH54" s="15"/>
      <c r="AI54" s="15"/>
      <c r="AJ54" s="15">
        <v>25</v>
      </c>
      <c r="AK54" s="15">
        <v>482.79155000000003</v>
      </c>
      <c r="AL54" s="14">
        <f t="shared" si="2"/>
        <v>119</v>
      </c>
      <c r="AM54" s="14">
        <f t="shared" si="2"/>
        <v>2871.0654299999997</v>
      </c>
    </row>
    <row r="55" spans="1:39" s="14" customFormat="1" ht="25.5" x14ac:dyDescent="0.2">
      <c r="A55" s="13" t="s">
        <v>70</v>
      </c>
      <c r="N55" s="14">
        <f t="shared" si="0"/>
        <v>0</v>
      </c>
      <c r="O55" s="14">
        <f t="shared" si="0"/>
        <v>0</v>
      </c>
      <c r="P55" s="15"/>
      <c r="Q55" s="15"/>
      <c r="R55" s="15"/>
      <c r="S55" s="15"/>
      <c r="T55" s="15"/>
      <c r="U55" s="15"/>
      <c r="V55" s="15"/>
      <c r="W55" s="15"/>
      <c r="X55" s="15">
        <f t="shared" si="1"/>
        <v>0</v>
      </c>
      <c r="Y55" s="15">
        <f t="shared" si="1"/>
        <v>0</v>
      </c>
      <c r="Z55" s="15">
        <v>1642</v>
      </c>
      <c r="AA55" s="15">
        <v>23675.626000000007</v>
      </c>
      <c r="AB55" s="14">
        <v>11131</v>
      </c>
      <c r="AC55" s="14">
        <v>59497.790980000012</v>
      </c>
      <c r="AD55" s="15"/>
      <c r="AE55" s="15"/>
      <c r="AF55" s="15"/>
      <c r="AG55" s="15"/>
      <c r="AH55" s="15"/>
      <c r="AI55" s="15"/>
      <c r="AJ55" s="15"/>
      <c r="AK55" s="15"/>
      <c r="AL55" s="14">
        <f t="shared" si="2"/>
        <v>12773</v>
      </c>
      <c r="AM55" s="14">
        <f t="shared" si="2"/>
        <v>83173.416980000024</v>
      </c>
    </row>
    <row r="56" spans="1:39" s="14" customFormat="1" x14ac:dyDescent="0.2">
      <c r="A56" s="13" t="s">
        <v>71</v>
      </c>
      <c r="N56" s="14">
        <f t="shared" si="0"/>
        <v>0</v>
      </c>
      <c r="O56" s="14">
        <f t="shared" si="0"/>
        <v>0</v>
      </c>
      <c r="P56" s="15"/>
      <c r="Q56" s="15"/>
      <c r="R56" s="15"/>
      <c r="S56" s="15"/>
      <c r="T56" s="15"/>
      <c r="U56" s="15"/>
      <c r="V56" s="15"/>
      <c r="W56" s="15"/>
      <c r="X56" s="15">
        <f t="shared" si="1"/>
        <v>0</v>
      </c>
      <c r="Y56" s="15">
        <f t="shared" si="1"/>
        <v>0</v>
      </c>
      <c r="Z56" s="15">
        <v>361</v>
      </c>
      <c r="AA56" s="15">
        <v>3770.0000000000009</v>
      </c>
      <c r="AB56" s="14">
        <v>3586</v>
      </c>
      <c r="AC56" s="14">
        <v>2651.8789999999999</v>
      </c>
      <c r="AD56" s="15"/>
      <c r="AE56" s="15"/>
      <c r="AF56" s="15"/>
      <c r="AG56" s="15"/>
      <c r="AH56" s="15"/>
      <c r="AI56" s="15"/>
      <c r="AJ56" s="15"/>
      <c r="AK56" s="15"/>
      <c r="AL56" s="14">
        <f t="shared" si="2"/>
        <v>3947</v>
      </c>
      <c r="AM56" s="14">
        <f t="shared" si="2"/>
        <v>6421.8790000000008</v>
      </c>
    </row>
    <row r="57" spans="1:39" s="14" customFormat="1" x14ac:dyDescent="0.2">
      <c r="A57" s="13" t="s">
        <v>72</v>
      </c>
      <c r="N57" s="14">
        <f t="shared" si="0"/>
        <v>0</v>
      </c>
      <c r="O57" s="14">
        <f t="shared" si="0"/>
        <v>0</v>
      </c>
      <c r="P57" s="15"/>
      <c r="Q57" s="15"/>
      <c r="R57" s="15"/>
      <c r="S57" s="15"/>
      <c r="T57" s="15"/>
      <c r="U57" s="15"/>
      <c r="V57" s="15"/>
      <c r="W57" s="15"/>
      <c r="X57" s="15">
        <f t="shared" si="1"/>
        <v>0</v>
      </c>
      <c r="Y57" s="15">
        <f t="shared" si="1"/>
        <v>0</v>
      </c>
      <c r="Z57" s="15">
        <v>3704</v>
      </c>
      <c r="AA57" s="15">
        <v>70310.399000000005</v>
      </c>
      <c r="AB57" s="14">
        <v>0</v>
      </c>
      <c r="AC57" s="14">
        <v>0</v>
      </c>
      <c r="AD57" s="15"/>
      <c r="AE57" s="15"/>
      <c r="AF57" s="15"/>
      <c r="AG57" s="15"/>
      <c r="AH57" s="15"/>
      <c r="AI57" s="15"/>
      <c r="AJ57" s="15"/>
      <c r="AK57" s="15"/>
      <c r="AL57" s="14">
        <f t="shared" si="2"/>
        <v>3704</v>
      </c>
      <c r="AM57" s="14">
        <f t="shared" si="2"/>
        <v>70310.399000000005</v>
      </c>
    </row>
    <row r="58" spans="1:39" s="14" customFormat="1" x14ac:dyDescent="0.2">
      <c r="A58" s="13" t="s">
        <v>73</v>
      </c>
      <c r="N58" s="14">
        <f t="shared" si="0"/>
        <v>0</v>
      </c>
      <c r="O58" s="14">
        <f t="shared" si="0"/>
        <v>0</v>
      </c>
      <c r="P58" s="15"/>
      <c r="Q58" s="15"/>
      <c r="R58" s="15"/>
      <c r="S58" s="15"/>
      <c r="T58" s="15"/>
      <c r="U58" s="15"/>
      <c r="V58" s="15"/>
      <c r="W58" s="15"/>
      <c r="X58" s="15">
        <f t="shared" si="1"/>
        <v>0</v>
      </c>
      <c r="Y58" s="15">
        <f t="shared" si="1"/>
        <v>0</v>
      </c>
      <c r="Z58" s="15"/>
      <c r="AA58" s="15"/>
      <c r="AB58" s="14">
        <v>191</v>
      </c>
      <c r="AC58" s="14">
        <v>116.70099999999999</v>
      </c>
      <c r="AD58" s="15"/>
      <c r="AE58" s="15"/>
      <c r="AF58" s="15"/>
      <c r="AG58" s="15"/>
      <c r="AH58" s="15"/>
      <c r="AI58" s="15"/>
      <c r="AJ58" s="15"/>
      <c r="AK58" s="15"/>
      <c r="AL58" s="14">
        <f t="shared" si="2"/>
        <v>191</v>
      </c>
      <c r="AM58" s="14">
        <f t="shared" si="2"/>
        <v>116.70099999999999</v>
      </c>
    </row>
    <row r="59" spans="1:39" s="14" customFormat="1" ht="25.5" x14ac:dyDescent="0.2">
      <c r="A59" s="13" t="s">
        <v>74</v>
      </c>
      <c r="H59" s="14">
        <v>234</v>
      </c>
      <c r="I59" s="14">
        <v>1536.88966</v>
      </c>
      <c r="N59" s="14">
        <f t="shared" si="0"/>
        <v>234</v>
      </c>
      <c r="O59" s="14">
        <f t="shared" si="0"/>
        <v>1536.88966</v>
      </c>
      <c r="P59" s="15"/>
      <c r="Q59" s="15"/>
      <c r="R59" s="15"/>
      <c r="S59" s="15"/>
      <c r="T59" s="15"/>
      <c r="U59" s="15"/>
      <c r="V59" s="15"/>
      <c r="W59" s="15"/>
      <c r="X59" s="15">
        <f t="shared" si="1"/>
        <v>0</v>
      </c>
      <c r="Y59" s="15">
        <f t="shared" si="1"/>
        <v>0</v>
      </c>
      <c r="Z59" s="15"/>
      <c r="AA59" s="15"/>
      <c r="AB59" s="14">
        <v>0</v>
      </c>
      <c r="AC59" s="14">
        <v>0</v>
      </c>
      <c r="AD59" s="15"/>
      <c r="AE59" s="15"/>
      <c r="AF59" s="15"/>
      <c r="AG59" s="15"/>
      <c r="AH59" s="15"/>
      <c r="AI59" s="15"/>
      <c r="AJ59" s="15"/>
      <c r="AK59" s="15"/>
      <c r="AL59" s="14">
        <f t="shared" si="2"/>
        <v>234</v>
      </c>
      <c r="AM59" s="14">
        <f t="shared" si="2"/>
        <v>1536.88966</v>
      </c>
    </row>
    <row r="60" spans="1:39" s="14" customFormat="1" ht="25.5" x14ac:dyDescent="0.2">
      <c r="A60" s="13" t="s">
        <v>75</v>
      </c>
      <c r="N60" s="14">
        <f t="shared" si="0"/>
        <v>0</v>
      </c>
      <c r="O60" s="14">
        <f t="shared" si="0"/>
        <v>0</v>
      </c>
      <c r="P60" s="15"/>
      <c r="Q60" s="15"/>
      <c r="R60" s="15"/>
      <c r="S60" s="15"/>
      <c r="T60" s="15"/>
      <c r="U60" s="15"/>
      <c r="V60" s="15"/>
      <c r="W60" s="15"/>
      <c r="X60" s="15">
        <f t="shared" si="1"/>
        <v>0</v>
      </c>
      <c r="Y60" s="15">
        <f t="shared" si="1"/>
        <v>0</v>
      </c>
      <c r="Z60" s="15"/>
      <c r="AA60" s="15"/>
      <c r="AB60" s="14">
        <f>13493-1-1</f>
        <v>13491</v>
      </c>
      <c r="AC60" s="14">
        <f>5623.144-0.397-0.397</f>
        <v>5622.35</v>
      </c>
      <c r="AD60" s="15"/>
      <c r="AE60" s="15"/>
      <c r="AF60" s="15"/>
      <c r="AG60" s="15"/>
      <c r="AH60" s="15"/>
      <c r="AI60" s="15"/>
      <c r="AJ60" s="15"/>
      <c r="AK60" s="15"/>
      <c r="AL60" s="14">
        <f t="shared" si="2"/>
        <v>13491</v>
      </c>
      <c r="AM60" s="14">
        <f t="shared" si="2"/>
        <v>5622.35</v>
      </c>
    </row>
    <row r="61" spans="1:39" s="14" customFormat="1" ht="25.5" x14ac:dyDescent="0.2">
      <c r="A61" s="13" t="s">
        <v>76</v>
      </c>
      <c r="L61" s="14">
        <v>43</v>
      </c>
      <c r="M61" s="14">
        <v>1535.13015</v>
      </c>
      <c r="N61" s="14">
        <f t="shared" si="0"/>
        <v>43</v>
      </c>
      <c r="O61" s="14">
        <f t="shared" si="0"/>
        <v>1535.13015</v>
      </c>
      <c r="P61" s="15">
        <v>218</v>
      </c>
      <c r="Q61" s="15">
        <v>289.70997</v>
      </c>
      <c r="R61" s="15"/>
      <c r="S61" s="15"/>
      <c r="T61" s="15"/>
      <c r="U61" s="15"/>
      <c r="V61" s="15"/>
      <c r="W61" s="15"/>
      <c r="X61" s="15">
        <f t="shared" si="1"/>
        <v>0</v>
      </c>
      <c r="Y61" s="15">
        <f t="shared" si="1"/>
        <v>0</v>
      </c>
      <c r="Z61" s="15"/>
      <c r="AA61" s="15"/>
      <c r="AB61" s="14">
        <v>0</v>
      </c>
      <c r="AC61" s="14">
        <v>0</v>
      </c>
      <c r="AD61" s="15"/>
      <c r="AE61" s="15"/>
      <c r="AF61" s="15"/>
      <c r="AG61" s="15"/>
      <c r="AH61" s="15"/>
      <c r="AI61" s="15"/>
      <c r="AJ61" s="15">
        <v>1</v>
      </c>
      <c r="AK61" s="15">
        <v>13.23634</v>
      </c>
      <c r="AL61" s="14">
        <f t="shared" si="2"/>
        <v>262</v>
      </c>
      <c r="AM61" s="14">
        <f t="shared" si="2"/>
        <v>1838.0764599999998</v>
      </c>
    </row>
    <row r="62" spans="1:39" s="14" customFormat="1" ht="25.5" x14ac:dyDescent="0.2">
      <c r="A62" s="13" t="s">
        <v>77</v>
      </c>
      <c r="N62" s="14">
        <f t="shared" si="0"/>
        <v>0</v>
      </c>
      <c r="O62" s="14">
        <f t="shared" si="0"/>
        <v>0</v>
      </c>
      <c r="P62" s="15"/>
      <c r="Q62" s="15"/>
      <c r="R62" s="15">
        <v>8715</v>
      </c>
      <c r="S62" s="15">
        <v>2827.518</v>
      </c>
      <c r="T62" s="15">
        <v>3411</v>
      </c>
      <c r="U62" s="15">
        <v>3790.4029999999993</v>
      </c>
      <c r="V62" s="15">
        <v>1179</v>
      </c>
      <c r="W62" s="15">
        <v>911.3670000000003</v>
      </c>
      <c r="X62" s="15">
        <f t="shared" si="1"/>
        <v>13305</v>
      </c>
      <c r="Y62" s="15">
        <f t="shared" si="1"/>
        <v>7529.2879999999996</v>
      </c>
      <c r="Z62" s="15"/>
      <c r="AA62" s="15"/>
      <c r="AB62" s="14">
        <v>0</v>
      </c>
      <c r="AC62" s="14">
        <v>0</v>
      </c>
      <c r="AD62" s="15"/>
      <c r="AE62" s="15"/>
      <c r="AF62" s="15"/>
      <c r="AG62" s="15"/>
      <c r="AH62" s="15"/>
      <c r="AI62" s="15"/>
      <c r="AJ62" s="15"/>
      <c r="AK62" s="15"/>
      <c r="AL62" s="14">
        <f t="shared" si="2"/>
        <v>13305</v>
      </c>
      <c r="AM62" s="14">
        <f t="shared" si="2"/>
        <v>7529.2879999999996</v>
      </c>
    </row>
    <row r="63" spans="1:39" s="14" customFormat="1" x14ac:dyDescent="0.2">
      <c r="A63" s="13" t="s">
        <v>78</v>
      </c>
      <c r="D63" s="14">
        <v>11</v>
      </c>
      <c r="E63" s="14">
        <v>27.075249999999997</v>
      </c>
      <c r="F63" s="14">
        <v>488</v>
      </c>
      <c r="G63" s="14">
        <v>4847.6635299999998</v>
      </c>
      <c r="N63" s="14">
        <f t="shared" si="0"/>
        <v>499</v>
      </c>
      <c r="O63" s="14">
        <f t="shared" si="0"/>
        <v>4874.7387799999997</v>
      </c>
      <c r="P63" s="15"/>
      <c r="Q63" s="15"/>
      <c r="R63" s="15"/>
      <c r="S63" s="15"/>
      <c r="T63" s="15"/>
      <c r="U63" s="15"/>
      <c r="V63" s="15"/>
      <c r="W63" s="15"/>
      <c r="X63" s="15">
        <f t="shared" si="1"/>
        <v>0</v>
      </c>
      <c r="Y63" s="15">
        <f t="shared" si="1"/>
        <v>0</v>
      </c>
      <c r="Z63" s="15"/>
      <c r="AA63" s="15"/>
      <c r="AB63" s="14">
        <v>0</v>
      </c>
      <c r="AC63" s="14">
        <v>0</v>
      </c>
      <c r="AD63" s="15"/>
      <c r="AE63" s="15"/>
      <c r="AF63" s="15"/>
      <c r="AG63" s="15"/>
      <c r="AH63" s="15"/>
      <c r="AI63" s="15"/>
      <c r="AJ63" s="15"/>
      <c r="AK63" s="15"/>
      <c r="AL63" s="14">
        <f t="shared" si="2"/>
        <v>499</v>
      </c>
      <c r="AM63" s="14">
        <f t="shared" si="2"/>
        <v>4874.7387799999997</v>
      </c>
    </row>
    <row r="64" spans="1:39" s="14" customFormat="1" ht="25.5" x14ac:dyDescent="0.2">
      <c r="A64" s="13" t="s">
        <v>79</v>
      </c>
      <c r="N64" s="14">
        <f t="shared" si="0"/>
        <v>0</v>
      </c>
      <c r="O64" s="14">
        <f t="shared" si="0"/>
        <v>0</v>
      </c>
      <c r="P64" s="15"/>
      <c r="Q64" s="15"/>
      <c r="R64" s="15"/>
      <c r="S64" s="15"/>
      <c r="T64" s="15"/>
      <c r="U64" s="15"/>
      <c r="V64" s="15"/>
      <c r="W64" s="15"/>
      <c r="X64" s="15">
        <f t="shared" si="1"/>
        <v>0</v>
      </c>
      <c r="Y64" s="15">
        <f t="shared" si="1"/>
        <v>0</v>
      </c>
      <c r="Z64" s="15">
        <v>143</v>
      </c>
      <c r="AA64" s="15">
        <v>4219.1900000000005</v>
      </c>
      <c r="AB64" s="14">
        <v>0</v>
      </c>
      <c r="AC64" s="14">
        <v>0</v>
      </c>
      <c r="AD64" s="15"/>
      <c r="AE64" s="15"/>
      <c r="AF64" s="15"/>
      <c r="AG64" s="15"/>
      <c r="AH64" s="15">
        <v>9</v>
      </c>
      <c r="AI64" s="15">
        <v>114.82600000000001</v>
      </c>
      <c r="AJ64" s="15"/>
      <c r="AK64" s="15"/>
      <c r="AL64" s="14">
        <f t="shared" si="2"/>
        <v>152</v>
      </c>
      <c r="AM64" s="14">
        <f t="shared" si="2"/>
        <v>4334.0160000000005</v>
      </c>
    </row>
    <row r="65" spans="1:39" s="14" customFormat="1" ht="25.5" x14ac:dyDescent="0.2">
      <c r="A65" s="13" t="s">
        <v>80</v>
      </c>
      <c r="B65" s="14">
        <v>124</v>
      </c>
      <c r="C65" s="14">
        <v>83.7</v>
      </c>
      <c r="F65" s="14">
        <v>667</v>
      </c>
      <c r="G65" s="14">
        <v>3819.2414700000008</v>
      </c>
      <c r="H65" s="14">
        <v>4</v>
      </c>
      <c r="I65" s="14">
        <v>5.5125799999999998</v>
      </c>
      <c r="L65" s="14">
        <v>156</v>
      </c>
      <c r="M65" s="14">
        <v>7275.9279700000006</v>
      </c>
      <c r="N65" s="14">
        <f t="shared" si="0"/>
        <v>951</v>
      </c>
      <c r="O65" s="14">
        <f t="shared" si="0"/>
        <v>11184.382020000001</v>
      </c>
      <c r="P65" s="15">
        <v>1684</v>
      </c>
      <c r="Q65" s="15">
        <v>2032.7687600000002</v>
      </c>
      <c r="R65" s="15"/>
      <c r="S65" s="15"/>
      <c r="T65" s="15"/>
      <c r="U65" s="15"/>
      <c r="V65" s="15"/>
      <c r="W65" s="15"/>
      <c r="X65" s="15">
        <f t="shared" si="1"/>
        <v>0</v>
      </c>
      <c r="Y65" s="15">
        <f t="shared" si="1"/>
        <v>0</v>
      </c>
      <c r="Z65" s="15"/>
      <c r="AA65" s="15"/>
      <c r="AB65" s="14">
        <v>0</v>
      </c>
      <c r="AC65" s="14">
        <v>0</v>
      </c>
      <c r="AD65" s="15"/>
      <c r="AE65" s="15"/>
      <c r="AF65" s="15"/>
      <c r="AG65" s="15"/>
      <c r="AH65" s="15"/>
      <c r="AI65" s="15"/>
      <c r="AJ65" s="15">
        <v>33</v>
      </c>
      <c r="AK65" s="15">
        <v>263.97920999999997</v>
      </c>
      <c r="AL65" s="14">
        <f t="shared" si="2"/>
        <v>2668</v>
      </c>
      <c r="AM65" s="14">
        <f t="shared" si="2"/>
        <v>13481.129990000001</v>
      </c>
    </row>
    <row r="66" spans="1:39" s="14" customFormat="1" ht="51" x14ac:dyDescent="0.2">
      <c r="A66" s="13" t="s">
        <v>81</v>
      </c>
      <c r="B66" s="14">
        <v>121</v>
      </c>
      <c r="C66" s="14">
        <v>24.859699999999997</v>
      </c>
      <c r="D66" s="14">
        <v>57</v>
      </c>
      <c r="E66" s="14">
        <v>167.72210999999999</v>
      </c>
      <c r="F66" s="14">
        <v>1038</v>
      </c>
      <c r="G66" s="14">
        <v>4991.0789899999991</v>
      </c>
      <c r="H66" s="14">
        <v>178</v>
      </c>
      <c r="I66" s="14">
        <v>187.56188</v>
      </c>
      <c r="J66" s="14">
        <v>6</v>
      </c>
      <c r="K66" s="14">
        <v>226.50236999999998</v>
      </c>
      <c r="L66" s="14">
        <v>54</v>
      </c>
      <c r="M66" s="14">
        <v>2158.1795899999997</v>
      </c>
      <c r="N66" s="14">
        <f t="shared" si="0"/>
        <v>1454</v>
      </c>
      <c r="O66" s="14">
        <f t="shared" si="0"/>
        <v>7755.9046399999988</v>
      </c>
      <c r="P66" s="15"/>
      <c r="Q66" s="15"/>
      <c r="R66" s="15"/>
      <c r="S66" s="15"/>
      <c r="T66" s="15"/>
      <c r="U66" s="15"/>
      <c r="V66" s="15"/>
      <c r="W66" s="15"/>
      <c r="X66" s="15">
        <f t="shared" si="1"/>
        <v>0</v>
      </c>
      <c r="Y66" s="15">
        <f t="shared" si="1"/>
        <v>0</v>
      </c>
      <c r="Z66" s="15"/>
      <c r="AA66" s="15"/>
      <c r="AB66" s="14">
        <v>0</v>
      </c>
      <c r="AC66" s="14">
        <v>0</v>
      </c>
      <c r="AD66" s="15"/>
      <c r="AE66" s="15"/>
      <c r="AF66" s="15"/>
      <c r="AG66" s="15"/>
      <c r="AH66" s="15"/>
      <c r="AI66" s="15"/>
      <c r="AJ66" s="15">
        <v>7</v>
      </c>
      <c r="AK66" s="15">
        <v>38.02355</v>
      </c>
      <c r="AL66" s="14">
        <f t="shared" si="2"/>
        <v>1461</v>
      </c>
      <c r="AM66" s="14">
        <f t="shared" si="2"/>
        <v>7793.9281899999987</v>
      </c>
    </row>
    <row r="67" spans="1:39" s="14" customFormat="1" ht="25.5" x14ac:dyDescent="0.2">
      <c r="A67" s="13" t="s">
        <v>82</v>
      </c>
      <c r="F67" s="14">
        <v>281</v>
      </c>
      <c r="G67" s="14">
        <v>103.02175</v>
      </c>
      <c r="H67" s="14">
        <v>1402</v>
      </c>
      <c r="I67" s="14">
        <v>856.38924999999995</v>
      </c>
      <c r="N67" s="14">
        <f t="shared" si="0"/>
        <v>1683</v>
      </c>
      <c r="O67" s="14">
        <f t="shared" si="0"/>
        <v>959.41099999999994</v>
      </c>
      <c r="P67" s="15"/>
      <c r="Q67" s="15"/>
      <c r="R67" s="15">
        <f>13242-3</f>
        <v>13239</v>
      </c>
      <c r="S67" s="15">
        <f>3156.2358-1.595</f>
        <v>3154.6408000000001</v>
      </c>
      <c r="T67" s="15">
        <f>4530-1</f>
        <v>4529</v>
      </c>
      <c r="U67" s="15">
        <f>5828.37-1.288</f>
        <v>5827.0820000000003</v>
      </c>
      <c r="V67" s="15">
        <f>1856-1</f>
        <v>1855</v>
      </c>
      <c r="W67" s="15">
        <f>1433.5622-0.773</f>
        <v>1432.7892000000002</v>
      </c>
      <c r="X67" s="15">
        <f t="shared" si="1"/>
        <v>19623</v>
      </c>
      <c r="Y67" s="15">
        <f t="shared" si="1"/>
        <v>10414.511999999999</v>
      </c>
      <c r="Z67" s="15">
        <v>2689</v>
      </c>
      <c r="AA67" s="15">
        <v>34326.625000000007</v>
      </c>
      <c r="AB67" s="14">
        <v>0</v>
      </c>
      <c r="AC67" s="14">
        <v>0</v>
      </c>
      <c r="AD67" s="15"/>
      <c r="AE67" s="15"/>
      <c r="AF67" s="15"/>
      <c r="AG67" s="15"/>
      <c r="AH67" s="15">
        <v>78</v>
      </c>
      <c r="AI67" s="15">
        <v>83.791749999999993</v>
      </c>
      <c r="AJ67" s="15"/>
      <c r="AK67" s="15"/>
      <c r="AL67" s="14">
        <f t="shared" si="2"/>
        <v>24073</v>
      </c>
      <c r="AM67" s="14">
        <f t="shared" si="2"/>
        <v>45784.339750000006</v>
      </c>
    </row>
    <row r="68" spans="1:39" s="14" customFormat="1" ht="38.25" x14ac:dyDescent="0.2">
      <c r="A68" s="13" t="s">
        <v>83</v>
      </c>
      <c r="N68" s="14">
        <f t="shared" si="0"/>
        <v>0</v>
      </c>
      <c r="O68" s="14">
        <f t="shared" si="0"/>
        <v>0</v>
      </c>
      <c r="P68" s="15"/>
      <c r="Q68" s="15"/>
      <c r="R68" s="15"/>
      <c r="S68" s="15"/>
      <c r="T68" s="15"/>
      <c r="U68" s="15"/>
      <c r="V68" s="15"/>
      <c r="W68" s="15"/>
      <c r="X68" s="15">
        <f t="shared" si="1"/>
        <v>0</v>
      </c>
      <c r="Y68" s="15">
        <f t="shared" si="1"/>
        <v>0</v>
      </c>
      <c r="Z68" s="15">
        <v>778</v>
      </c>
      <c r="AA68" s="15">
        <v>8426.0540000000001</v>
      </c>
      <c r="AB68" s="14">
        <v>2716</v>
      </c>
      <c r="AC68" s="14">
        <v>11797.117</v>
      </c>
      <c r="AD68" s="15"/>
      <c r="AE68" s="15"/>
      <c r="AF68" s="15"/>
      <c r="AG68" s="15"/>
      <c r="AH68" s="15"/>
      <c r="AI68" s="15"/>
      <c r="AJ68" s="15"/>
      <c r="AK68" s="15"/>
      <c r="AL68" s="14">
        <f t="shared" si="2"/>
        <v>3494</v>
      </c>
      <c r="AM68" s="14">
        <f t="shared" si="2"/>
        <v>20223.171000000002</v>
      </c>
    </row>
    <row r="69" spans="1:39" s="14" customFormat="1" ht="38.25" x14ac:dyDescent="0.2">
      <c r="A69" s="13" t="s">
        <v>84</v>
      </c>
      <c r="F69" s="14">
        <v>70</v>
      </c>
      <c r="G69" s="14">
        <v>332.20699999999994</v>
      </c>
      <c r="N69" s="14">
        <f t="shared" si="0"/>
        <v>70</v>
      </c>
      <c r="O69" s="14">
        <f t="shared" si="0"/>
        <v>332.20699999999994</v>
      </c>
      <c r="P69" s="15">
        <f>4790-4</f>
        <v>4786</v>
      </c>
      <c r="Q69" s="15">
        <f>4523.74415-3.22088</f>
        <v>4520.5232700000006</v>
      </c>
      <c r="R69" s="15"/>
      <c r="S69" s="15"/>
      <c r="T69" s="15"/>
      <c r="U69" s="15"/>
      <c r="V69" s="15"/>
      <c r="W69" s="15"/>
      <c r="X69" s="15">
        <f t="shared" si="1"/>
        <v>0</v>
      </c>
      <c r="Y69" s="15">
        <f t="shared" si="1"/>
        <v>0</v>
      </c>
      <c r="Z69" s="15"/>
      <c r="AA69" s="15"/>
      <c r="AB69" s="14">
        <v>0</v>
      </c>
      <c r="AC69" s="14">
        <v>0</v>
      </c>
      <c r="AD69" s="15"/>
      <c r="AE69" s="15"/>
      <c r="AF69" s="15"/>
      <c r="AG69" s="15"/>
      <c r="AH69" s="15"/>
      <c r="AI69" s="15"/>
      <c r="AJ69" s="15"/>
      <c r="AK69" s="15"/>
      <c r="AL69" s="14">
        <f t="shared" si="2"/>
        <v>4856</v>
      </c>
      <c r="AM69" s="14">
        <f t="shared" si="2"/>
        <v>4852.7302700000009</v>
      </c>
    </row>
    <row r="70" spans="1:39" s="14" customFormat="1" ht="25.5" x14ac:dyDescent="0.2">
      <c r="A70" s="13" t="s">
        <v>85</v>
      </c>
      <c r="B70" s="14">
        <v>1</v>
      </c>
      <c r="C70" s="14">
        <v>4.4115000000000002</v>
      </c>
      <c r="D70" s="14">
        <v>53</v>
      </c>
      <c r="E70" s="14">
        <v>280.32463999999999</v>
      </c>
      <c r="F70" s="14">
        <v>661</v>
      </c>
      <c r="G70" s="14">
        <v>5141.3743999999988</v>
      </c>
      <c r="H70" s="14">
        <v>3</v>
      </c>
      <c r="I70" s="14">
        <v>14.15887</v>
      </c>
      <c r="L70" s="14">
        <v>20</v>
      </c>
      <c r="M70" s="14">
        <v>704.38502000000005</v>
      </c>
      <c r="N70" s="14">
        <f t="shared" si="0"/>
        <v>738</v>
      </c>
      <c r="O70" s="14">
        <f t="shared" si="0"/>
        <v>6144.6544299999987</v>
      </c>
      <c r="P70" s="15"/>
      <c r="Q70" s="15"/>
      <c r="R70" s="15"/>
      <c r="S70" s="15"/>
      <c r="T70" s="15"/>
      <c r="U70" s="15"/>
      <c r="V70" s="15"/>
      <c r="W70" s="15"/>
      <c r="X70" s="15">
        <f t="shared" si="1"/>
        <v>0</v>
      </c>
      <c r="Y70" s="15">
        <f t="shared" si="1"/>
        <v>0</v>
      </c>
      <c r="Z70" s="15"/>
      <c r="AA70" s="15"/>
      <c r="AB70" s="14">
        <v>0</v>
      </c>
      <c r="AC70" s="14">
        <v>0</v>
      </c>
      <c r="AD70" s="15"/>
      <c r="AE70" s="15"/>
      <c r="AF70" s="15"/>
      <c r="AG70" s="15"/>
      <c r="AH70" s="15"/>
      <c r="AI70" s="15"/>
      <c r="AJ70" s="15">
        <v>10</v>
      </c>
      <c r="AK70" s="15">
        <v>79.408609999999996</v>
      </c>
      <c r="AL70" s="14">
        <f t="shared" si="2"/>
        <v>748</v>
      </c>
      <c r="AM70" s="14">
        <f t="shared" si="2"/>
        <v>6224.0630399999991</v>
      </c>
    </row>
    <row r="71" spans="1:39" s="14" customFormat="1" ht="38.25" x14ac:dyDescent="0.2">
      <c r="A71" s="13" t="s">
        <v>86</v>
      </c>
      <c r="B71" s="14">
        <v>157</v>
      </c>
      <c r="C71" s="14">
        <v>205.69149000000002</v>
      </c>
      <c r="F71" s="14">
        <v>2</v>
      </c>
      <c r="G71" s="14">
        <v>233.12156000000002</v>
      </c>
      <c r="J71" s="14">
        <v>42</v>
      </c>
      <c r="K71" s="14">
        <v>2184.58338</v>
      </c>
      <c r="L71" s="14">
        <v>226</v>
      </c>
      <c r="M71" s="14">
        <v>11830.681459999998</v>
      </c>
      <c r="N71" s="14">
        <f t="shared" si="0"/>
        <v>427</v>
      </c>
      <c r="O71" s="14">
        <f t="shared" si="0"/>
        <v>14454.077889999999</v>
      </c>
      <c r="P71" s="15"/>
      <c r="Q71" s="15"/>
      <c r="R71" s="15"/>
      <c r="S71" s="15"/>
      <c r="T71" s="15"/>
      <c r="U71" s="15"/>
      <c r="V71" s="15"/>
      <c r="W71" s="15"/>
      <c r="X71" s="15">
        <f t="shared" si="1"/>
        <v>0</v>
      </c>
      <c r="Y71" s="15">
        <f t="shared" si="1"/>
        <v>0</v>
      </c>
      <c r="Z71" s="15"/>
      <c r="AA71" s="15"/>
      <c r="AB71" s="14">
        <v>0</v>
      </c>
      <c r="AC71" s="14">
        <v>0</v>
      </c>
      <c r="AD71" s="15"/>
      <c r="AE71" s="15"/>
      <c r="AF71" s="15"/>
      <c r="AG71" s="15"/>
      <c r="AH71" s="15"/>
      <c r="AI71" s="15"/>
      <c r="AJ71" s="15">
        <v>75</v>
      </c>
      <c r="AK71" s="15">
        <v>975.60897999999986</v>
      </c>
      <c r="AL71" s="14">
        <f t="shared" si="2"/>
        <v>502</v>
      </c>
      <c r="AM71" s="14">
        <f t="shared" si="2"/>
        <v>15429.686869999998</v>
      </c>
    </row>
    <row r="72" spans="1:39" s="14" customFormat="1" ht="51" x14ac:dyDescent="0.2">
      <c r="A72" s="13" t="s">
        <v>87</v>
      </c>
      <c r="F72" s="14">
        <v>14</v>
      </c>
      <c r="G72" s="14">
        <v>4.9805000000000001</v>
      </c>
      <c r="H72" s="14">
        <v>491</v>
      </c>
      <c r="I72" s="14">
        <v>3275.5429100000001</v>
      </c>
      <c r="N72" s="14">
        <f t="shared" ref="N72:O92" si="3">B72+D72+F72+H72+J72+L72</f>
        <v>505</v>
      </c>
      <c r="O72" s="14">
        <f t="shared" si="3"/>
        <v>3280.5234100000002</v>
      </c>
      <c r="P72" s="15"/>
      <c r="Q72" s="15"/>
      <c r="R72" s="15"/>
      <c r="S72" s="15"/>
      <c r="T72" s="15"/>
      <c r="U72" s="15"/>
      <c r="V72" s="15"/>
      <c r="W72" s="15"/>
      <c r="X72" s="15">
        <f t="shared" ref="X72:Y92" si="4">R72+T72+V72</f>
        <v>0</v>
      </c>
      <c r="Y72" s="15">
        <f t="shared" si="4"/>
        <v>0</v>
      </c>
      <c r="Z72" s="15"/>
      <c r="AA72" s="15"/>
      <c r="AB72" s="14">
        <v>0</v>
      </c>
      <c r="AC72" s="14">
        <v>0</v>
      </c>
      <c r="AD72" s="15"/>
      <c r="AE72" s="15"/>
      <c r="AF72" s="15"/>
      <c r="AG72" s="15"/>
      <c r="AH72" s="15"/>
      <c r="AI72" s="15"/>
      <c r="AJ72" s="15"/>
      <c r="AK72" s="15"/>
      <c r="AL72" s="14">
        <f t="shared" ref="AL72:AM92" si="5">N72+P72+X72+Z72+AB72+AD72+AF72+AH72+AJ72</f>
        <v>505</v>
      </c>
      <c r="AM72" s="14">
        <f t="shared" si="5"/>
        <v>3280.5234100000002</v>
      </c>
    </row>
    <row r="73" spans="1:39" s="14" customFormat="1" ht="25.5" x14ac:dyDescent="0.2">
      <c r="A73" s="13" t="s">
        <v>88</v>
      </c>
      <c r="B73" s="14">
        <v>772</v>
      </c>
      <c r="C73" s="14">
        <v>92.531850000000006</v>
      </c>
      <c r="D73" s="14">
        <v>6</v>
      </c>
      <c r="E73" s="14">
        <v>35.634540000000001</v>
      </c>
      <c r="F73" s="14">
        <v>135</v>
      </c>
      <c r="G73" s="14">
        <v>1133.3230599999999</v>
      </c>
      <c r="L73" s="14">
        <v>167</v>
      </c>
      <c r="M73" s="14">
        <v>6334.3549300000004</v>
      </c>
      <c r="N73" s="14">
        <f t="shared" si="3"/>
        <v>1080</v>
      </c>
      <c r="O73" s="14">
        <f t="shared" si="3"/>
        <v>7595.8443800000005</v>
      </c>
      <c r="P73" s="15"/>
      <c r="Q73" s="15"/>
      <c r="R73" s="15"/>
      <c r="S73" s="15"/>
      <c r="T73" s="15"/>
      <c r="U73" s="15"/>
      <c r="V73" s="15"/>
      <c r="W73" s="15"/>
      <c r="X73" s="15">
        <f t="shared" si="4"/>
        <v>0</v>
      </c>
      <c r="Y73" s="15">
        <f t="shared" si="4"/>
        <v>0</v>
      </c>
      <c r="Z73" s="15"/>
      <c r="AA73" s="15"/>
      <c r="AB73" s="14">
        <v>0</v>
      </c>
      <c r="AC73" s="14">
        <v>0</v>
      </c>
      <c r="AD73" s="15"/>
      <c r="AE73" s="15"/>
      <c r="AF73" s="15"/>
      <c r="AG73" s="15"/>
      <c r="AH73" s="15"/>
      <c r="AI73" s="15"/>
      <c r="AJ73" s="15"/>
      <c r="AK73" s="15"/>
      <c r="AL73" s="14">
        <f t="shared" si="5"/>
        <v>1080</v>
      </c>
      <c r="AM73" s="14">
        <f t="shared" si="5"/>
        <v>7595.8443800000005</v>
      </c>
    </row>
    <row r="74" spans="1:39" s="14" customFormat="1" ht="25.5" x14ac:dyDescent="0.2">
      <c r="A74" s="13" t="s">
        <v>89</v>
      </c>
      <c r="B74" s="14">
        <v>215</v>
      </c>
      <c r="C74" s="14">
        <v>288.41000000000003</v>
      </c>
      <c r="D74" s="14">
        <v>27</v>
      </c>
      <c r="E74" s="14">
        <v>147.46726000000001</v>
      </c>
      <c r="F74" s="14">
        <v>522</v>
      </c>
      <c r="G74" s="14">
        <v>3300.0387299999998</v>
      </c>
      <c r="H74" s="14">
        <v>6</v>
      </c>
      <c r="I74" s="14">
        <v>32.17501</v>
      </c>
      <c r="J74" s="14">
        <v>39</v>
      </c>
      <c r="K74" s="14">
        <v>1021.66416</v>
      </c>
      <c r="L74" s="14">
        <v>327</v>
      </c>
      <c r="M74" s="14">
        <v>10144.175719999999</v>
      </c>
      <c r="N74" s="14">
        <f t="shared" si="3"/>
        <v>1136</v>
      </c>
      <c r="O74" s="14">
        <f t="shared" si="3"/>
        <v>14933.93088</v>
      </c>
      <c r="P74" s="15"/>
      <c r="Q74" s="15"/>
      <c r="R74" s="15"/>
      <c r="S74" s="15"/>
      <c r="T74" s="15"/>
      <c r="U74" s="15"/>
      <c r="V74" s="15"/>
      <c r="W74" s="15"/>
      <c r="X74" s="15">
        <f t="shared" si="4"/>
        <v>0</v>
      </c>
      <c r="Y74" s="15">
        <f t="shared" si="4"/>
        <v>0</v>
      </c>
      <c r="Z74" s="15"/>
      <c r="AA74" s="15"/>
      <c r="AB74" s="14">
        <v>0</v>
      </c>
      <c r="AC74" s="14">
        <v>0</v>
      </c>
      <c r="AD74" s="15"/>
      <c r="AE74" s="15"/>
      <c r="AF74" s="15"/>
      <c r="AG74" s="15"/>
      <c r="AH74" s="15"/>
      <c r="AI74" s="15"/>
      <c r="AJ74" s="15">
        <v>43</v>
      </c>
      <c r="AK74" s="15">
        <v>505.10879</v>
      </c>
      <c r="AL74" s="14">
        <f t="shared" si="5"/>
        <v>1179</v>
      </c>
      <c r="AM74" s="14">
        <f t="shared" si="5"/>
        <v>15439.03967</v>
      </c>
    </row>
    <row r="75" spans="1:39" s="14" customFormat="1" ht="38.25" x14ac:dyDescent="0.2">
      <c r="A75" s="13" t="s">
        <v>90</v>
      </c>
      <c r="B75" s="14">
        <v>593</v>
      </c>
      <c r="C75" s="14">
        <v>325.04252000000002</v>
      </c>
      <c r="J75" s="14">
        <v>2</v>
      </c>
      <c r="K75" s="14">
        <v>31.72991</v>
      </c>
      <c r="L75" s="14">
        <v>808</v>
      </c>
      <c r="M75" s="14">
        <v>25751.201700000001</v>
      </c>
      <c r="N75" s="14">
        <f t="shared" si="3"/>
        <v>1403</v>
      </c>
      <c r="O75" s="14">
        <f t="shared" si="3"/>
        <v>26107.974130000002</v>
      </c>
      <c r="P75" s="15"/>
      <c r="Q75" s="15"/>
      <c r="R75" s="15"/>
      <c r="S75" s="15"/>
      <c r="T75" s="15"/>
      <c r="U75" s="15"/>
      <c r="V75" s="15"/>
      <c r="W75" s="15"/>
      <c r="X75" s="15">
        <f t="shared" si="4"/>
        <v>0</v>
      </c>
      <c r="Y75" s="15">
        <f t="shared" si="4"/>
        <v>0</v>
      </c>
      <c r="Z75" s="15"/>
      <c r="AA75" s="15"/>
      <c r="AB75" s="14">
        <v>0</v>
      </c>
      <c r="AC75" s="14">
        <v>0</v>
      </c>
      <c r="AD75" s="15"/>
      <c r="AE75" s="15"/>
      <c r="AF75" s="15"/>
      <c r="AG75" s="15"/>
      <c r="AH75" s="15"/>
      <c r="AI75" s="15"/>
      <c r="AJ75" s="15">
        <v>93</v>
      </c>
      <c r="AK75" s="15">
        <v>1105.9054900000001</v>
      </c>
      <c r="AL75" s="14">
        <f t="shared" si="5"/>
        <v>1496</v>
      </c>
      <c r="AM75" s="14">
        <f t="shared" si="5"/>
        <v>27213.879620000003</v>
      </c>
    </row>
    <row r="76" spans="1:39" s="14" customFormat="1" ht="25.5" x14ac:dyDescent="0.2">
      <c r="A76" s="13" t="s">
        <v>91</v>
      </c>
      <c r="F76" s="14">
        <v>9522</v>
      </c>
      <c r="G76" s="14">
        <v>6303.5640000000003</v>
      </c>
      <c r="N76" s="14">
        <f t="shared" si="3"/>
        <v>9522</v>
      </c>
      <c r="O76" s="14">
        <f t="shared" si="3"/>
        <v>6303.5640000000003</v>
      </c>
      <c r="P76" s="15"/>
      <c r="Q76" s="15"/>
      <c r="R76" s="15"/>
      <c r="S76" s="15"/>
      <c r="T76" s="15"/>
      <c r="U76" s="15"/>
      <c r="V76" s="15"/>
      <c r="W76" s="15"/>
      <c r="X76" s="15">
        <f t="shared" si="4"/>
        <v>0</v>
      </c>
      <c r="Y76" s="15">
        <f t="shared" si="4"/>
        <v>0</v>
      </c>
      <c r="Z76" s="15"/>
      <c r="AA76" s="15"/>
      <c r="AB76" s="14">
        <v>0</v>
      </c>
      <c r="AC76" s="14">
        <v>0</v>
      </c>
      <c r="AD76" s="15"/>
      <c r="AE76" s="15"/>
      <c r="AF76" s="15"/>
      <c r="AG76" s="15"/>
      <c r="AH76" s="15"/>
      <c r="AI76" s="15"/>
      <c r="AJ76" s="15"/>
      <c r="AK76" s="15"/>
      <c r="AL76" s="14">
        <f t="shared" si="5"/>
        <v>9522</v>
      </c>
      <c r="AM76" s="14">
        <f t="shared" si="5"/>
        <v>6303.5640000000003</v>
      </c>
    </row>
    <row r="77" spans="1:39" s="14" customFormat="1" ht="38.25" x14ac:dyDescent="0.2">
      <c r="A77" s="13" t="s">
        <v>92</v>
      </c>
      <c r="N77" s="14">
        <f t="shared" si="3"/>
        <v>0</v>
      </c>
      <c r="O77" s="14">
        <f t="shared" si="3"/>
        <v>0</v>
      </c>
      <c r="P77" s="15"/>
      <c r="Q77" s="15"/>
      <c r="R77" s="15">
        <v>912</v>
      </c>
      <c r="S77" s="15">
        <v>212.00910000000002</v>
      </c>
      <c r="T77" s="15">
        <v>319</v>
      </c>
      <c r="U77" s="15">
        <v>410.87199999999996</v>
      </c>
      <c r="V77" s="15">
        <v>214</v>
      </c>
      <c r="W77" s="15">
        <v>165.05599999999998</v>
      </c>
      <c r="X77" s="15">
        <f t="shared" si="4"/>
        <v>1445</v>
      </c>
      <c r="Y77" s="15">
        <f t="shared" si="4"/>
        <v>787.93709999999987</v>
      </c>
      <c r="Z77" s="15"/>
      <c r="AA77" s="15"/>
      <c r="AB77" s="14">
        <v>0</v>
      </c>
      <c r="AC77" s="14">
        <v>0</v>
      </c>
      <c r="AD77" s="15"/>
      <c r="AE77" s="15"/>
      <c r="AF77" s="15"/>
      <c r="AG77" s="15"/>
      <c r="AH77" s="15"/>
      <c r="AI77" s="15"/>
      <c r="AJ77" s="15"/>
      <c r="AK77" s="15"/>
      <c r="AL77" s="14">
        <f t="shared" si="5"/>
        <v>1445</v>
      </c>
      <c r="AM77" s="14">
        <f t="shared" si="5"/>
        <v>787.93709999999987</v>
      </c>
    </row>
    <row r="78" spans="1:39" s="14" customFormat="1" ht="25.5" x14ac:dyDescent="0.2">
      <c r="A78" s="13" t="s">
        <v>93</v>
      </c>
      <c r="L78" s="14">
        <v>109</v>
      </c>
      <c r="M78" s="14">
        <v>4279.9883899999995</v>
      </c>
      <c r="N78" s="14">
        <f t="shared" si="3"/>
        <v>109</v>
      </c>
      <c r="O78" s="14">
        <f t="shared" si="3"/>
        <v>4279.9883899999995</v>
      </c>
      <c r="P78" s="15"/>
      <c r="Q78" s="15"/>
      <c r="R78" s="15"/>
      <c r="S78" s="15"/>
      <c r="T78" s="15"/>
      <c r="U78" s="15"/>
      <c r="V78" s="15"/>
      <c r="W78" s="15"/>
      <c r="X78" s="15">
        <f t="shared" si="4"/>
        <v>0</v>
      </c>
      <c r="Y78" s="15">
        <f t="shared" si="4"/>
        <v>0</v>
      </c>
      <c r="Z78" s="15"/>
      <c r="AA78" s="15"/>
      <c r="AB78" s="14">
        <v>0</v>
      </c>
      <c r="AC78" s="14">
        <v>0</v>
      </c>
      <c r="AD78" s="15"/>
      <c r="AE78" s="15"/>
      <c r="AF78" s="15"/>
      <c r="AG78" s="15"/>
      <c r="AH78" s="15"/>
      <c r="AI78" s="15"/>
      <c r="AJ78" s="15">
        <v>8</v>
      </c>
      <c r="AK78" s="15">
        <v>85.392340000000004</v>
      </c>
      <c r="AL78" s="14">
        <f t="shared" si="5"/>
        <v>117</v>
      </c>
      <c r="AM78" s="14">
        <f t="shared" si="5"/>
        <v>4365.3807299999999</v>
      </c>
    </row>
    <row r="79" spans="1:39" s="14" customFormat="1" ht="25.5" x14ac:dyDescent="0.2">
      <c r="A79" s="13" t="s">
        <v>94</v>
      </c>
      <c r="J79" s="14">
        <v>69</v>
      </c>
      <c r="K79" s="14">
        <v>2199.9460300000001</v>
      </c>
      <c r="L79" s="14">
        <v>80</v>
      </c>
      <c r="M79" s="14">
        <v>3420.006969999999</v>
      </c>
      <c r="N79" s="14">
        <f t="shared" si="3"/>
        <v>149</v>
      </c>
      <c r="O79" s="14">
        <f t="shared" si="3"/>
        <v>5619.9529999999995</v>
      </c>
      <c r="P79" s="15"/>
      <c r="Q79" s="15"/>
      <c r="R79" s="15"/>
      <c r="S79" s="15"/>
      <c r="T79" s="15"/>
      <c r="U79" s="15"/>
      <c r="V79" s="15"/>
      <c r="W79" s="15"/>
      <c r="X79" s="15">
        <f t="shared" si="4"/>
        <v>0</v>
      </c>
      <c r="Y79" s="15">
        <f t="shared" si="4"/>
        <v>0</v>
      </c>
      <c r="Z79" s="15"/>
      <c r="AA79" s="15"/>
      <c r="AB79" s="14">
        <v>0</v>
      </c>
      <c r="AC79" s="14">
        <v>0</v>
      </c>
      <c r="AD79" s="15"/>
      <c r="AE79" s="15"/>
      <c r="AF79" s="15"/>
      <c r="AG79" s="15"/>
      <c r="AH79" s="15"/>
      <c r="AI79" s="15"/>
      <c r="AJ79" s="15">
        <v>12</v>
      </c>
      <c r="AK79" s="15">
        <v>134.27322999999998</v>
      </c>
      <c r="AL79" s="14">
        <f t="shared" si="5"/>
        <v>161</v>
      </c>
      <c r="AM79" s="14">
        <f t="shared" si="5"/>
        <v>5754.2262299999993</v>
      </c>
    </row>
    <row r="80" spans="1:39" s="14" customFormat="1" ht="25.5" x14ac:dyDescent="0.2">
      <c r="A80" s="13" t="s">
        <v>95</v>
      </c>
      <c r="B80" s="14">
        <v>178</v>
      </c>
      <c r="C80" s="14">
        <v>20.957190000000001</v>
      </c>
      <c r="D80" s="14">
        <v>3</v>
      </c>
      <c r="E80" s="14">
        <v>4.4762599999999999</v>
      </c>
      <c r="F80" s="14">
        <v>540</v>
      </c>
      <c r="G80" s="14">
        <v>492.04348000000005</v>
      </c>
      <c r="H80" s="14">
        <v>191</v>
      </c>
      <c r="I80" s="14">
        <v>545.85197000000005</v>
      </c>
      <c r="J80" s="14">
        <v>2</v>
      </c>
      <c r="K80" s="14">
        <v>18.16658</v>
      </c>
      <c r="L80" s="14">
        <v>62</v>
      </c>
      <c r="M80" s="14">
        <v>2479.2627700000003</v>
      </c>
      <c r="N80" s="14">
        <f t="shared" si="3"/>
        <v>976</v>
      </c>
      <c r="O80" s="14">
        <f t="shared" si="3"/>
        <v>3560.7582500000003</v>
      </c>
      <c r="P80" s="15"/>
      <c r="Q80" s="15"/>
      <c r="R80" s="15"/>
      <c r="S80" s="15"/>
      <c r="T80" s="15"/>
      <c r="U80" s="15"/>
      <c r="V80" s="15"/>
      <c r="W80" s="15"/>
      <c r="X80" s="15">
        <f t="shared" si="4"/>
        <v>0</v>
      </c>
      <c r="Y80" s="15">
        <f t="shared" si="4"/>
        <v>0</v>
      </c>
      <c r="Z80" s="15"/>
      <c r="AA80" s="15"/>
      <c r="AB80" s="14">
        <v>0</v>
      </c>
      <c r="AC80" s="14">
        <v>0</v>
      </c>
      <c r="AD80" s="15"/>
      <c r="AE80" s="15"/>
      <c r="AF80" s="15"/>
      <c r="AG80" s="15"/>
      <c r="AH80" s="15"/>
      <c r="AI80" s="15"/>
      <c r="AJ80" s="15">
        <v>5</v>
      </c>
      <c r="AK80" s="15">
        <v>57.517809999999997</v>
      </c>
      <c r="AL80" s="14">
        <f t="shared" si="5"/>
        <v>981</v>
      </c>
      <c r="AM80" s="14">
        <f t="shared" si="5"/>
        <v>3618.2760600000001</v>
      </c>
    </row>
    <row r="81" spans="1:39" s="14" customFormat="1" ht="25.5" x14ac:dyDescent="0.2">
      <c r="A81" s="13" t="s">
        <v>96</v>
      </c>
      <c r="N81" s="14">
        <f t="shared" si="3"/>
        <v>0</v>
      </c>
      <c r="O81" s="14">
        <f t="shared" si="3"/>
        <v>0</v>
      </c>
      <c r="P81" s="15"/>
      <c r="Q81" s="15"/>
      <c r="R81" s="15"/>
      <c r="S81" s="15"/>
      <c r="T81" s="15"/>
      <c r="U81" s="15"/>
      <c r="V81" s="15"/>
      <c r="W81" s="15"/>
      <c r="X81" s="15">
        <f t="shared" si="4"/>
        <v>0</v>
      </c>
      <c r="Y81" s="15">
        <f t="shared" si="4"/>
        <v>0</v>
      </c>
      <c r="Z81" s="15">
        <v>696</v>
      </c>
      <c r="AA81" s="15">
        <v>8743.1400000000012</v>
      </c>
      <c r="AB81" s="14">
        <v>0</v>
      </c>
      <c r="AC81" s="14">
        <v>0</v>
      </c>
      <c r="AD81" s="15"/>
      <c r="AE81" s="15"/>
      <c r="AF81" s="15"/>
      <c r="AG81" s="15"/>
      <c r="AH81" s="15"/>
      <c r="AI81" s="15"/>
      <c r="AJ81" s="15"/>
      <c r="AK81" s="15"/>
      <c r="AL81" s="14">
        <f t="shared" si="5"/>
        <v>696</v>
      </c>
      <c r="AM81" s="14">
        <f t="shared" si="5"/>
        <v>8743.1400000000012</v>
      </c>
    </row>
    <row r="82" spans="1:39" s="14" customFormat="1" x14ac:dyDescent="0.2">
      <c r="A82" s="13" t="s">
        <v>97</v>
      </c>
      <c r="N82" s="14">
        <f t="shared" si="3"/>
        <v>0</v>
      </c>
      <c r="O82" s="14">
        <f t="shared" si="3"/>
        <v>0</v>
      </c>
      <c r="P82" s="15"/>
      <c r="Q82" s="15"/>
      <c r="R82" s="15"/>
      <c r="S82" s="15"/>
      <c r="T82" s="15"/>
      <c r="U82" s="15"/>
      <c r="V82" s="15"/>
      <c r="W82" s="15"/>
      <c r="X82" s="15">
        <f t="shared" si="4"/>
        <v>0</v>
      </c>
      <c r="Y82" s="15">
        <f t="shared" si="4"/>
        <v>0</v>
      </c>
      <c r="Z82" s="15"/>
      <c r="AA82" s="15"/>
      <c r="AB82" s="14">
        <v>70</v>
      </c>
      <c r="AC82" s="14">
        <v>17.220000000000002</v>
      </c>
      <c r="AD82" s="15"/>
      <c r="AE82" s="15"/>
      <c r="AF82" s="15"/>
      <c r="AG82" s="15"/>
      <c r="AH82" s="15"/>
      <c r="AI82" s="15"/>
      <c r="AJ82" s="15"/>
      <c r="AK82" s="15"/>
      <c r="AL82" s="14">
        <f t="shared" si="5"/>
        <v>70</v>
      </c>
      <c r="AM82" s="14">
        <f t="shared" si="5"/>
        <v>17.220000000000002</v>
      </c>
    </row>
    <row r="83" spans="1:39" s="14" customFormat="1" x14ac:dyDescent="0.2">
      <c r="A83" s="13" t="s">
        <v>98</v>
      </c>
      <c r="N83" s="14">
        <f t="shared" si="3"/>
        <v>0</v>
      </c>
      <c r="O83" s="14">
        <f t="shared" si="3"/>
        <v>0</v>
      </c>
      <c r="P83" s="15"/>
      <c r="Q83" s="15"/>
      <c r="R83" s="15"/>
      <c r="S83" s="15"/>
      <c r="T83" s="15"/>
      <c r="U83" s="15"/>
      <c r="V83" s="15"/>
      <c r="W83" s="15"/>
      <c r="X83" s="15">
        <f t="shared" si="4"/>
        <v>0</v>
      </c>
      <c r="Y83" s="15">
        <f t="shared" si="4"/>
        <v>0</v>
      </c>
      <c r="Z83" s="15">
        <v>6</v>
      </c>
      <c r="AA83" s="15">
        <v>66.233000000000004</v>
      </c>
      <c r="AB83" s="14">
        <v>0</v>
      </c>
      <c r="AC83" s="14">
        <v>0</v>
      </c>
      <c r="AD83" s="15"/>
      <c r="AE83" s="15"/>
      <c r="AF83" s="15"/>
      <c r="AG83" s="15"/>
      <c r="AH83" s="15"/>
      <c r="AI83" s="15"/>
      <c r="AJ83" s="15"/>
      <c r="AK83" s="15"/>
      <c r="AL83" s="14">
        <f t="shared" si="5"/>
        <v>6</v>
      </c>
      <c r="AM83" s="14">
        <f t="shared" si="5"/>
        <v>66.233000000000004</v>
      </c>
    </row>
    <row r="84" spans="1:39" s="14" customFormat="1" ht="25.5" x14ac:dyDescent="0.2">
      <c r="A84" s="13" t="s">
        <v>99</v>
      </c>
      <c r="N84" s="14">
        <f t="shared" si="3"/>
        <v>0</v>
      </c>
      <c r="O84" s="14">
        <f t="shared" si="3"/>
        <v>0</v>
      </c>
      <c r="P84" s="15"/>
      <c r="Q84" s="15"/>
      <c r="R84" s="15"/>
      <c r="S84" s="15"/>
      <c r="T84" s="15"/>
      <c r="U84" s="15"/>
      <c r="V84" s="15"/>
      <c r="W84" s="15"/>
      <c r="X84" s="15">
        <f t="shared" si="4"/>
        <v>0</v>
      </c>
      <c r="Y84" s="15">
        <f t="shared" si="4"/>
        <v>0</v>
      </c>
      <c r="Z84" s="15"/>
      <c r="AA84" s="15"/>
      <c r="AB84" s="14">
        <v>0</v>
      </c>
      <c r="AC84" s="14">
        <v>0</v>
      </c>
      <c r="AD84" s="15"/>
      <c r="AE84" s="15"/>
      <c r="AF84" s="15"/>
      <c r="AG84" s="15"/>
      <c r="AH84" s="15">
        <v>361</v>
      </c>
      <c r="AI84" s="15">
        <v>3831.1554099999994</v>
      </c>
      <c r="AJ84" s="15"/>
      <c r="AK84" s="15"/>
      <c r="AL84" s="14">
        <f t="shared" si="5"/>
        <v>361</v>
      </c>
      <c r="AM84" s="14">
        <f t="shared" si="5"/>
        <v>3831.1554099999994</v>
      </c>
    </row>
    <row r="85" spans="1:39" s="14" customFormat="1" x14ac:dyDescent="0.2">
      <c r="A85" s="13" t="s">
        <v>100</v>
      </c>
      <c r="N85" s="14">
        <f t="shared" si="3"/>
        <v>0</v>
      </c>
      <c r="O85" s="14">
        <f t="shared" si="3"/>
        <v>0</v>
      </c>
      <c r="P85" s="15"/>
      <c r="Q85" s="15"/>
      <c r="R85" s="15"/>
      <c r="S85" s="15"/>
      <c r="T85" s="15"/>
      <c r="U85" s="15"/>
      <c r="V85" s="15"/>
      <c r="W85" s="15"/>
      <c r="X85" s="15">
        <f t="shared" si="4"/>
        <v>0</v>
      </c>
      <c r="Y85" s="15">
        <f t="shared" si="4"/>
        <v>0</v>
      </c>
      <c r="Z85" s="15"/>
      <c r="AA85" s="15"/>
      <c r="AB85" s="14">
        <v>931</v>
      </c>
      <c r="AC85" s="14">
        <v>8410.8800000000028</v>
      </c>
      <c r="AD85" s="15"/>
      <c r="AE85" s="15"/>
      <c r="AF85" s="15"/>
      <c r="AG85" s="15"/>
      <c r="AH85" s="15"/>
      <c r="AI85" s="15"/>
      <c r="AJ85" s="15"/>
      <c r="AK85" s="15"/>
      <c r="AL85" s="14">
        <f t="shared" si="5"/>
        <v>931</v>
      </c>
      <c r="AM85" s="14">
        <f t="shared" si="5"/>
        <v>8410.8800000000028</v>
      </c>
    </row>
    <row r="86" spans="1:39" s="14" customFormat="1" ht="25.5" x14ac:dyDescent="0.2">
      <c r="A86" s="13" t="s">
        <v>101</v>
      </c>
      <c r="N86" s="14">
        <f t="shared" si="3"/>
        <v>0</v>
      </c>
      <c r="O86" s="14">
        <f t="shared" si="3"/>
        <v>0</v>
      </c>
      <c r="P86" s="15"/>
      <c r="Q86" s="15"/>
      <c r="R86" s="15"/>
      <c r="S86" s="15"/>
      <c r="T86" s="15"/>
      <c r="U86" s="15"/>
      <c r="V86" s="15"/>
      <c r="W86" s="15"/>
      <c r="X86" s="15">
        <f t="shared" si="4"/>
        <v>0</v>
      </c>
      <c r="Y86" s="15">
        <f t="shared" si="4"/>
        <v>0</v>
      </c>
      <c r="Z86" s="15">
        <v>1218</v>
      </c>
      <c r="AA86" s="15">
        <v>21152.118000000002</v>
      </c>
      <c r="AB86" s="14">
        <v>369</v>
      </c>
      <c r="AC86" s="14">
        <v>1818.8370000000002</v>
      </c>
      <c r="AD86" s="15"/>
      <c r="AE86" s="15"/>
      <c r="AF86" s="15"/>
      <c r="AG86" s="15"/>
      <c r="AH86" s="15"/>
      <c r="AI86" s="15"/>
      <c r="AJ86" s="15"/>
      <c r="AK86" s="15"/>
      <c r="AL86" s="14">
        <f t="shared" si="5"/>
        <v>1587</v>
      </c>
      <c r="AM86" s="14">
        <f t="shared" si="5"/>
        <v>22970.955000000002</v>
      </c>
    </row>
    <row r="87" spans="1:39" s="14" customFormat="1" ht="25.5" x14ac:dyDescent="0.2">
      <c r="A87" s="13" t="s">
        <v>102</v>
      </c>
      <c r="B87" s="14">
        <v>620</v>
      </c>
      <c r="C87" s="14">
        <v>257.86470000000003</v>
      </c>
      <c r="D87" s="14">
        <v>58</v>
      </c>
      <c r="E87" s="14">
        <v>131.24376999999998</v>
      </c>
      <c r="F87" s="14">
        <v>2478</v>
      </c>
      <c r="G87" s="14">
        <v>4772.2563999999993</v>
      </c>
      <c r="H87" s="14">
        <v>438</v>
      </c>
      <c r="I87" s="14">
        <v>1669.9747400000001</v>
      </c>
      <c r="J87" s="14">
        <v>18</v>
      </c>
      <c r="K87" s="14">
        <v>482.32682</v>
      </c>
      <c r="L87" s="14">
        <v>339</v>
      </c>
      <c r="M87" s="14">
        <v>15000.904340000001</v>
      </c>
      <c r="N87" s="14">
        <f t="shared" si="3"/>
        <v>3951</v>
      </c>
      <c r="O87" s="14">
        <f t="shared" si="3"/>
        <v>22314.570769999998</v>
      </c>
      <c r="P87" s="15">
        <v>10657</v>
      </c>
      <c r="Q87" s="15">
        <v>17336.26023</v>
      </c>
      <c r="R87" s="15"/>
      <c r="S87" s="15"/>
      <c r="T87" s="15"/>
      <c r="U87" s="15"/>
      <c r="V87" s="15"/>
      <c r="W87" s="15"/>
      <c r="X87" s="15">
        <f t="shared" si="4"/>
        <v>0</v>
      </c>
      <c r="Y87" s="15">
        <f t="shared" si="4"/>
        <v>0</v>
      </c>
      <c r="Z87" s="15"/>
      <c r="AA87" s="15"/>
      <c r="AB87" s="14">
        <v>0</v>
      </c>
      <c r="AC87" s="14">
        <v>0</v>
      </c>
      <c r="AD87" s="15"/>
      <c r="AE87" s="15"/>
      <c r="AF87" s="15"/>
      <c r="AG87" s="15"/>
      <c r="AH87" s="15"/>
      <c r="AI87" s="15"/>
      <c r="AJ87" s="15">
        <v>89</v>
      </c>
      <c r="AK87" s="15">
        <v>1317.5654300000001</v>
      </c>
      <c r="AL87" s="14">
        <f t="shared" si="5"/>
        <v>14697</v>
      </c>
      <c r="AM87" s="14">
        <f t="shared" si="5"/>
        <v>40968.396430000001</v>
      </c>
    </row>
    <row r="88" spans="1:39" s="14" customFormat="1" ht="51" x14ac:dyDescent="0.2">
      <c r="A88" s="13" t="s">
        <v>103</v>
      </c>
      <c r="B88" s="14">
        <v>66</v>
      </c>
      <c r="C88" s="14">
        <v>37.727600000000002</v>
      </c>
      <c r="D88" s="14">
        <v>2</v>
      </c>
      <c r="E88" s="14">
        <v>6.7616899999999998</v>
      </c>
      <c r="F88" s="14">
        <v>248</v>
      </c>
      <c r="G88" s="14">
        <v>1625.5209499999999</v>
      </c>
      <c r="H88" s="14">
        <v>223</v>
      </c>
      <c r="I88" s="14">
        <v>1232.07728</v>
      </c>
      <c r="L88" s="14">
        <v>102</v>
      </c>
      <c r="M88" s="14">
        <v>6015.2205299999996</v>
      </c>
      <c r="N88" s="14">
        <f t="shared" si="3"/>
        <v>641</v>
      </c>
      <c r="O88" s="14">
        <f t="shared" si="3"/>
        <v>8917.3080499999996</v>
      </c>
      <c r="P88" s="15">
        <v>448</v>
      </c>
      <c r="Q88" s="15">
        <v>574.11515999999995</v>
      </c>
      <c r="R88" s="15"/>
      <c r="S88" s="15"/>
      <c r="T88" s="15"/>
      <c r="U88" s="15"/>
      <c r="V88" s="15"/>
      <c r="W88" s="15"/>
      <c r="X88" s="15">
        <f t="shared" si="4"/>
        <v>0</v>
      </c>
      <c r="Y88" s="15">
        <f t="shared" si="4"/>
        <v>0</v>
      </c>
      <c r="Z88" s="15"/>
      <c r="AA88" s="15"/>
      <c r="AB88" s="14">
        <v>0</v>
      </c>
      <c r="AC88" s="14">
        <v>0</v>
      </c>
      <c r="AD88" s="15"/>
      <c r="AE88" s="15"/>
      <c r="AF88" s="15"/>
      <c r="AG88" s="15"/>
      <c r="AH88" s="15"/>
      <c r="AI88" s="15"/>
      <c r="AJ88" s="15">
        <v>32</v>
      </c>
      <c r="AK88" s="15">
        <v>646.20699999999999</v>
      </c>
      <c r="AL88" s="14">
        <f t="shared" si="5"/>
        <v>1121</v>
      </c>
      <c r="AM88" s="14">
        <f t="shared" si="5"/>
        <v>10137.630209999999</v>
      </c>
    </row>
    <row r="89" spans="1:39" s="14" customFormat="1" ht="25.5" x14ac:dyDescent="0.2">
      <c r="A89" s="13" t="s">
        <v>104</v>
      </c>
      <c r="B89" s="14">
        <v>21</v>
      </c>
      <c r="C89" s="14">
        <v>14.65358</v>
      </c>
      <c r="D89" s="14">
        <v>49</v>
      </c>
      <c r="E89" s="14">
        <v>160.56189000000001</v>
      </c>
      <c r="F89" s="14">
        <v>861</v>
      </c>
      <c r="G89" s="14">
        <v>3164.2024700000002</v>
      </c>
      <c r="H89" s="14">
        <v>326</v>
      </c>
      <c r="I89" s="14">
        <v>750.45112000000006</v>
      </c>
      <c r="L89" s="14">
        <v>34</v>
      </c>
      <c r="M89" s="14">
        <v>1206.1661199999999</v>
      </c>
      <c r="N89" s="14">
        <f t="shared" si="3"/>
        <v>1291</v>
      </c>
      <c r="O89" s="14">
        <f t="shared" si="3"/>
        <v>5296.0351800000008</v>
      </c>
      <c r="P89" s="15">
        <v>1772</v>
      </c>
      <c r="Q89" s="15">
        <v>2265.50992</v>
      </c>
      <c r="R89" s="15"/>
      <c r="S89" s="15"/>
      <c r="T89" s="15"/>
      <c r="U89" s="15"/>
      <c r="V89" s="15"/>
      <c r="W89" s="15"/>
      <c r="X89" s="15">
        <f t="shared" si="4"/>
        <v>0</v>
      </c>
      <c r="Y89" s="15">
        <f t="shared" si="4"/>
        <v>0</v>
      </c>
      <c r="Z89" s="15"/>
      <c r="AA89" s="15"/>
      <c r="AB89" s="14">
        <v>0</v>
      </c>
      <c r="AC89" s="14">
        <v>0</v>
      </c>
      <c r="AD89" s="15"/>
      <c r="AE89" s="15"/>
      <c r="AF89" s="15"/>
      <c r="AG89" s="15"/>
      <c r="AH89" s="15">
        <v>1</v>
      </c>
      <c r="AI89" s="15">
        <v>2.3113999999999999</v>
      </c>
      <c r="AJ89" s="15">
        <v>4</v>
      </c>
      <c r="AK89" s="15">
        <v>52.328489999999995</v>
      </c>
      <c r="AL89" s="14">
        <f t="shared" si="5"/>
        <v>3068</v>
      </c>
      <c r="AM89" s="14">
        <f t="shared" si="5"/>
        <v>7616.1849900000007</v>
      </c>
    </row>
    <row r="90" spans="1:39" s="14" customFormat="1" ht="25.5" x14ac:dyDescent="0.2">
      <c r="A90" s="13" t="s">
        <v>105</v>
      </c>
      <c r="P90" s="15">
        <v>96</v>
      </c>
      <c r="Q90" s="15">
        <v>119.203</v>
      </c>
      <c r="R90" s="15"/>
      <c r="S90" s="15"/>
      <c r="T90" s="15"/>
      <c r="U90" s="15"/>
      <c r="V90" s="15"/>
      <c r="W90" s="15"/>
      <c r="X90" s="15">
        <f t="shared" si="4"/>
        <v>0</v>
      </c>
      <c r="Y90" s="15">
        <f t="shared" si="4"/>
        <v>0</v>
      </c>
      <c r="Z90" s="15"/>
      <c r="AA90" s="15"/>
      <c r="AB90" s="14">
        <v>0</v>
      </c>
      <c r="AC90" s="14">
        <v>0</v>
      </c>
      <c r="AD90" s="15"/>
      <c r="AE90" s="15"/>
      <c r="AF90" s="15"/>
      <c r="AG90" s="15"/>
      <c r="AH90" s="15"/>
      <c r="AI90" s="15"/>
      <c r="AJ90" s="15"/>
      <c r="AK90" s="15"/>
      <c r="AL90" s="14">
        <f t="shared" si="5"/>
        <v>96</v>
      </c>
      <c r="AM90" s="14">
        <f t="shared" si="5"/>
        <v>119.203</v>
      </c>
    </row>
    <row r="91" spans="1:39" s="18" customFormat="1" ht="25.5" x14ac:dyDescent="0.2">
      <c r="A91" s="17" t="s">
        <v>106</v>
      </c>
      <c r="B91" s="18">
        <v>1</v>
      </c>
      <c r="C91" s="18">
        <v>4.468</v>
      </c>
      <c r="F91" s="18">
        <v>6</v>
      </c>
      <c r="G91" s="18">
        <v>55.254939999999998</v>
      </c>
      <c r="J91" s="18">
        <v>2</v>
      </c>
      <c r="K91" s="18">
        <v>52.367259999999995</v>
      </c>
      <c r="L91" s="18">
        <v>13</v>
      </c>
      <c r="M91" s="18">
        <v>292.46480000000003</v>
      </c>
      <c r="N91" s="18">
        <f t="shared" si="3"/>
        <v>22</v>
      </c>
      <c r="O91" s="18">
        <f t="shared" si="3"/>
        <v>404.55500000000001</v>
      </c>
      <c r="P91" s="16"/>
      <c r="Q91" s="16"/>
      <c r="R91" s="16"/>
      <c r="S91" s="16"/>
      <c r="T91" s="16"/>
      <c r="U91" s="16"/>
      <c r="V91" s="16"/>
      <c r="W91" s="16"/>
      <c r="X91" s="15">
        <f t="shared" si="4"/>
        <v>0</v>
      </c>
      <c r="Y91" s="15">
        <f t="shared" si="4"/>
        <v>0</v>
      </c>
      <c r="Z91" s="16"/>
      <c r="AA91" s="16"/>
      <c r="AB91" s="18">
        <v>0</v>
      </c>
      <c r="AC91" s="18">
        <v>0</v>
      </c>
      <c r="AD91" s="16"/>
      <c r="AE91" s="16"/>
      <c r="AF91" s="16"/>
      <c r="AG91" s="16"/>
      <c r="AH91" s="16"/>
      <c r="AI91" s="16"/>
      <c r="AJ91" s="16"/>
      <c r="AK91" s="16"/>
      <c r="AL91" s="18">
        <f t="shared" si="5"/>
        <v>22</v>
      </c>
      <c r="AM91" s="18">
        <f t="shared" si="5"/>
        <v>404.55500000000001</v>
      </c>
    </row>
    <row r="92" spans="1:39" s="18" customFormat="1" x14ac:dyDescent="0.2">
      <c r="A92" s="17" t="s">
        <v>107</v>
      </c>
      <c r="N92" s="18">
        <f t="shared" si="3"/>
        <v>0</v>
      </c>
      <c r="O92" s="18">
        <f t="shared" si="3"/>
        <v>0</v>
      </c>
      <c r="P92" s="16">
        <v>472</v>
      </c>
      <c r="Q92" s="16">
        <v>506.70769000000001</v>
      </c>
      <c r="R92" s="16"/>
      <c r="S92" s="16"/>
      <c r="T92" s="16"/>
      <c r="U92" s="16"/>
      <c r="V92" s="16"/>
      <c r="W92" s="16"/>
      <c r="X92" s="15">
        <f t="shared" si="4"/>
        <v>0</v>
      </c>
      <c r="Y92" s="15">
        <f t="shared" si="4"/>
        <v>0</v>
      </c>
      <c r="Z92" s="16"/>
      <c r="AA92" s="16"/>
      <c r="AB92" s="18">
        <v>0</v>
      </c>
      <c r="AC92" s="18">
        <v>0</v>
      </c>
      <c r="AD92" s="16"/>
      <c r="AE92" s="16"/>
      <c r="AF92" s="16"/>
      <c r="AG92" s="16"/>
      <c r="AH92" s="16"/>
      <c r="AI92" s="16"/>
      <c r="AJ92" s="16"/>
      <c r="AK92" s="16"/>
      <c r="AL92" s="18">
        <f t="shared" si="5"/>
        <v>472</v>
      </c>
      <c r="AM92" s="18">
        <f t="shared" si="5"/>
        <v>506.70769000000001</v>
      </c>
    </row>
    <row r="93" spans="1:39" s="14" customFormat="1" x14ac:dyDescent="0.2">
      <c r="A93" s="19" t="s">
        <v>108</v>
      </c>
      <c r="B93" s="14">
        <f>SUM(B7:B92)</f>
        <v>25937</v>
      </c>
      <c r="C93" s="14">
        <f t="shared" ref="C93:P93" si="6">SUM(C7:C92)</f>
        <v>7237.4443500000007</v>
      </c>
      <c r="D93" s="14">
        <f t="shared" si="6"/>
        <v>743</v>
      </c>
      <c r="E93" s="14">
        <f t="shared" si="6"/>
        <v>2345.0030599999996</v>
      </c>
      <c r="F93" s="14">
        <f t="shared" si="6"/>
        <v>99470</v>
      </c>
      <c r="G93" s="14">
        <f t="shared" si="6"/>
        <v>139214.01179999998</v>
      </c>
      <c r="H93" s="14">
        <f t="shared" si="6"/>
        <v>15831</v>
      </c>
      <c r="I93" s="14">
        <f t="shared" si="6"/>
        <v>30427.566670000004</v>
      </c>
      <c r="J93" s="14">
        <f t="shared" si="6"/>
        <v>614</v>
      </c>
      <c r="K93" s="14">
        <f t="shared" si="6"/>
        <v>14560.821999999998</v>
      </c>
      <c r="L93" s="14">
        <f t="shared" si="6"/>
        <v>12615</v>
      </c>
      <c r="M93" s="14">
        <f t="shared" si="6"/>
        <v>395613.4341999999</v>
      </c>
      <c r="N93" s="14">
        <f t="shared" si="6"/>
        <v>155210</v>
      </c>
      <c r="O93" s="14">
        <f t="shared" si="6"/>
        <v>589398.28208000003</v>
      </c>
      <c r="P93" s="14">
        <f t="shared" si="6"/>
        <v>258654</v>
      </c>
      <c r="Q93" s="14">
        <f>SUM(Q7:Q92)</f>
        <v>285018.84117999999</v>
      </c>
      <c r="R93" s="14">
        <f>SUM(R7:R92)</f>
        <v>124553</v>
      </c>
      <c r="S93" s="14">
        <f t="shared" ref="S93:W93" si="7">SUM(S7:S92)</f>
        <v>39377.916040000011</v>
      </c>
      <c r="T93" s="14">
        <f t="shared" si="7"/>
        <v>45694</v>
      </c>
      <c r="U93" s="14">
        <f t="shared" si="7"/>
        <v>54812.867129999999</v>
      </c>
      <c r="V93" s="14">
        <f t="shared" si="7"/>
        <v>19495</v>
      </c>
      <c r="W93" s="14">
        <f t="shared" si="7"/>
        <v>15040.62615</v>
      </c>
      <c r="X93" s="14">
        <f>SUM(X7:X92)</f>
        <v>189742</v>
      </c>
      <c r="Y93" s="14">
        <f>SUM(Y7:Y92)</f>
        <v>109231.40931999998</v>
      </c>
      <c r="Z93" s="14">
        <f>SUM(Z7:Z92)</f>
        <v>26857</v>
      </c>
      <c r="AA93" s="14">
        <f t="shared" ref="AA93:AM93" si="8">SUM(AA7:AA92)</f>
        <v>462041.52734000009</v>
      </c>
      <c r="AB93" s="14">
        <f t="shared" si="8"/>
        <v>61798</v>
      </c>
      <c r="AC93" s="14">
        <f t="shared" si="8"/>
        <v>147440.99388000005</v>
      </c>
      <c r="AD93" s="14">
        <f t="shared" si="8"/>
        <v>1734</v>
      </c>
      <c r="AE93" s="14">
        <f t="shared" si="8"/>
        <v>350.15699999999998</v>
      </c>
      <c r="AF93" s="14">
        <f t="shared" si="8"/>
        <v>31</v>
      </c>
      <c r="AG93" s="14">
        <f t="shared" si="8"/>
        <v>146.92326000000003</v>
      </c>
      <c r="AH93" s="14">
        <f t="shared" si="8"/>
        <v>1436</v>
      </c>
      <c r="AI93" s="14">
        <f t="shared" si="8"/>
        <v>11266.063230000002</v>
      </c>
      <c r="AJ93" s="14">
        <f t="shared" si="8"/>
        <v>2633</v>
      </c>
      <c r="AK93" s="14">
        <f t="shared" si="8"/>
        <v>20309.250049999991</v>
      </c>
      <c r="AL93" s="14">
        <f t="shared" si="8"/>
        <v>698095</v>
      </c>
      <c r="AM93" s="14">
        <f t="shared" si="8"/>
        <v>1625203.4473399993</v>
      </c>
    </row>
    <row r="94" spans="1:39" ht="15" x14ac:dyDescent="0.2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0"/>
      <c r="Q94" s="20"/>
      <c r="R94" s="2"/>
      <c r="S94" s="2"/>
      <c r="T94" s="2"/>
      <c r="U94" s="2"/>
      <c r="V94" s="2"/>
      <c r="W94" s="2"/>
      <c r="X94" s="20"/>
      <c r="Y94" s="20"/>
      <c r="Z94" s="20"/>
      <c r="AA94" s="20"/>
      <c r="AB94" s="2"/>
      <c r="AC94" s="2"/>
      <c r="AD94" s="20"/>
      <c r="AE94" s="20"/>
      <c r="AF94" s="2"/>
      <c r="AG94" s="2"/>
      <c r="AH94" s="2"/>
      <c r="AI94" s="2"/>
      <c r="AJ94" s="2"/>
      <c r="AK94" s="2"/>
      <c r="AL94" s="2"/>
      <c r="AM94" s="2"/>
    </row>
    <row r="95" spans="1:39" ht="18" x14ac:dyDescent="0.2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0"/>
      <c r="O95" s="20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1"/>
      <c r="AD95" s="2"/>
      <c r="AE95" s="2"/>
      <c r="AF95" s="2"/>
      <c r="AG95" s="2"/>
      <c r="AH95" s="2"/>
      <c r="AI95" s="2"/>
      <c r="AJ95" s="21"/>
      <c r="AK95" s="2"/>
      <c r="AL95" s="2"/>
      <c r="AM95" s="2"/>
    </row>
    <row r="96" spans="1:39" x14ac:dyDescent="0.2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8" x14ac:dyDescent="0.2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1" t="s">
        <v>109</v>
      </c>
      <c r="AL97" s="2"/>
      <c r="AM97" s="2"/>
    </row>
    <row r="98" spans="1:39" ht="18" x14ac:dyDescent="0.2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1" t="s">
        <v>110</v>
      </c>
      <c r="AD98" s="2"/>
      <c r="AE98" s="2"/>
      <c r="AF98" s="2"/>
      <c r="AG98" s="2"/>
      <c r="AH98" s="2"/>
      <c r="AI98" s="2"/>
      <c r="AJ98" s="21" t="s">
        <v>111</v>
      </c>
      <c r="AK98" s="2"/>
      <c r="AL98" s="2"/>
      <c r="AM98" s="2"/>
    </row>
  </sheetData>
  <autoFilter ref="A6:AM93"/>
  <mergeCells count="23">
    <mergeCell ref="B1:T1"/>
    <mergeCell ref="A4:A6"/>
    <mergeCell ref="B4:M4"/>
    <mergeCell ref="N4:O5"/>
    <mergeCell ref="P4:Q5"/>
    <mergeCell ref="R4:W4"/>
    <mergeCell ref="V5:W5"/>
    <mergeCell ref="AJ4:AK5"/>
    <mergeCell ref="AL4:AM5"/>
    <mergeCell ref="B5:C5"/>
    <mergeCell ref="D5:E5"/>
    <mergeCell ref="F5:G5"/>
    <mergeCell ref="H5:I5"/>
    <mergeCell ref="J5:K5"/>
    <mergeCell ref="L5:M5"/>
    <mergeCell ref="R5:S5"/>
    <mergeCell ref="T5:U5"/>
    <mergeCell ref="X4:Y5"/>
    <mergeCell ref="Z4:AA5"/>
    <mergeCell ref="AB4:AC5"/>
    <mergeCell ref="AD4:AE5"/>
    <mergeCell ref="AF4:AG5"/>
    <mergeCell ref="AH4:AI5"/>
  </mergeCells>
  <pageMargins left="0.23622047244094491" right="0.23622047244094491" top="0.74803149606299213" bottom="0.74803149606299213" header="0.31496062992125984" footer="0.31496062992125984"/>
  <pageSetup paperSize="9" fitToWidth="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 розрізі областей</vt:lpstr>
      <vt:lpstr>В розрізі підприємств</vt:lpstr>
      <vt:lpstr>'В розрізі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Вікторія Іванівна Субботінова</dc:creator>
  <cp:lastModifiedBy>Вікторія Рева</cp:lastModifiedBy>
  <dcterms:created xsi:type="dcterms:W3CDTF">2019-11-12T14:33:54Z</dcterms:created>
  <dcterms:modified xsi:type="dcterms:W3CDTF">2019-11-12T15:19:32Z</dcterms:modified>
</cp:coreProperties>
</file>